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 (bud22)\бюджет 2025г\решения по бюджету\проект бюджета 2025-2027\материалы предст с проектом\"/>
    </mc:Choice>
  </mc:AlternateContent>
  <bookViews>
    <workbookView xWindow="0" yWindow="60" windowWidth="13290" windowHeight="10200" tabRatio="754" activeTab="4"/>
  </bookViews>
  <sheets>
    <sheet name="Лист1" sheetId="292" r:id="rId1"/>
    <sheet name="прил1 доходы 2024" sheetId="121" r:id="rId2"/>
    <sheet name="безвоз 2024 пр.2" sheetId="1" r:id="rId3"/>
    <sheet name="Функц. пр.3" sheetId="36" r:id="rId4"/>
    <sheet name="ведом 2024 пр.4" sheetId="131" r:id="rId5"/>
    <sheet name="ист.прил5" sheetId="39" r:id="rId6"/>
    <sheet name="мп 2024 справ" sheetId="114" r:id="rId7"/>
    <sheet name="Лист2" sheetId="27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'безвоз 2024 пр.2'!$A$6:$AS$253</definedName>
    <definedName name="_xlnm._FilterDatabase" localSheetId="4" hidden="1">'ведом 2024 пр.4'!$A$10:$Z$2376</definedName>
    <definedName name="_xlnm._FilterDatabase" localSheetId="6" hidden="1">'мп 2024 справ'!$A$10:$V$416</definedName>
    <definedName name="_xlnm._FilterDatabase" localSheetId="1" hidden="1">'прил1 доходы 2024'!$A$5:$J$137</definedName>
    <definedName name="_xlnm._FilterDatabase" localSheetId="3" hidden="1">'Функц. пр.3'!$A$7:$N$76</definedName>
    <definedName name="f" localSheetId="0">'[1]14 раздел'!#REF!</definedName>
    <definedName name="f">'[1]14 раздел'!#REF!</definedName>
    <definedName name="qq" localSheetId="0">'[1]14 раздел'!#REF!</definedName>
    <definedName name="qq" localSheetId="6">'[1]14 раздел'!#REF!</definedName>
    <definedName name="qq">'[1]14 раздел'!#REF!</definedName>
    <definedName name="а" localSheetId="0">#REF!</definedName>
    <definedName name="а" localSheetId="1">#REF!</definedName>
    <definedName name="а">#REF!</definedName>
    <definedName name="А34" localSheetId="0">'[1]14 раздел'!#REF!</definedName>
    <definedName name="А34" localSheetId="6">'[1]14 раздел'!#REF!</definedName>
    <definedName name="А34" localSheetId="1">'[1]14 раздел'!#REF!</definedName>
    <definedName name="А34">'[1]14 раздел'!#REF!</definedName>
    <definedName name="а452" localSheetId="0">'[1]14 раздел'!#REF!</definedName>
    <definedName name="а452" localSheetId="6">'[1]14 раздел'!#REF!</definedName>
    <definedName name="а452" localSheetId="1">'[1]14 раздел'!#REF!</definedName>
    <definedName name="а452">'[1]14 раздел'!#REF!</definedName>
    <definedName name="а453" localSheetId="0">'[1]14 раздел'!#REF!</definedName>
    <definedName name="а453" localSheetId="6">'[1]14 раздел'!#REF!</definedName>
    <definedName name="а453" localSheetId="1">'[1]14 раздел'!#REF!</definedName>
    <definedName name="а453">'[1]14 раздел'!#REF!</definedName>
    <definedName name="А875" localSheetId="0">'[1]14 раздел'!#REF!</definedName>
    <definedName name="А875" localSheetId="6">'[1]14 раздел'!#REF!</definedName>
    <definedName name="А875" localSheetId="1">'[1]14 раздел'!#REF!</definedName>
    <definedName name="А875">'[1]14 раздел'!#REF!</definedName>
    <definedName name="а876" localSheetId="0">'[1]14 раздел'!#REF!</definedName>
    <definedName name="а876" localSheetId="6">'[1]14 раздел'!#REF!</definedName>
    <definedName name="а876" localSheetId="1">'[1]14 раздел'!#REF!</definedName>
    <definedName name="а876">'[1]14 раздел'!#REF!</definedName>
    <definedName name="ббб" localSheetId="0">#REF!</definedName>
    <definedName name="ббб" localSheetId="6">#REF!</definedName>
    <definedName name="ббб">#REF!</definedName>
    <definedName name="_xlnm.Print_Titles" localSheetId="2">'безвоз 2024 пр.2'!$5:$6</definedName>
    <definedName name="_xlnm.Print_Titles" localSheetId="4">'ведом 2024 пр.4'!$9:$10</definedName>
    <definedName name="_xlnm.Print_Titles" localSheetId="6">'мп 2024 справ'!$9:$10</definedName>
    <definedName name="_xlnm.Print_Area" localSheetId="2">'безвоз 2024 пр.2'!$A$1:$F$301</definedName>
    <definedName name="_xlnm.Print_Area" localSheetId="4">'ведом 2024 пр.4'!$A$1:$L$2366</definedName>
    <definedName name="_xlnm.Print_Area" localSheetId="5">ист.прил5!$A$1:$E$40</definedName>
    <definedName name="_xlnm.Print_Area" localSheetId="6">'мп 2024 справ'!$A$1:$M$406</definedName>
    <definedName name="_xlnm.Print_Area" localSheetId="1">'прил1 доходы 2024'!$A$1:$D$136</definedName>
    <definedName name="_xlnm.Print_Area" localSheetId="3">'Функц. пр.3'!$A$1:$H$70</definedName>
    <definedName name="прилож" localSheetId="0">'[1]14 раздел'!#REF!</definedName>
    <definedName name="прилож" localSheetId="6">'[1]14 раздел'!#REF!</definedName>
    <definedName name="прилож">'[1]14 раздел'!#REF!</definedName>
    <definedName name="рр" localSheetId="0">'[1]14 раздел'!#REF!</definedName>
    <definedName name="рр">'[1]14 раздел'!#REF!</definedName>
    <definedName name="с" localSheetId="0">'[1]14 раздел'!#REF!</definedName>
    <definedName name="с">'[1]14 раздел'!#REF!</definedName>
  </definedNames>
  <calcPr calcId="162913"/>
</workbook>
</file>

<file path=xl/calcChain.xml><?xml version="1.0" encoding="utf-8"?>
<calcChain xmlns="http://schemas.openxmlformats.org/spreadsheetml/2006/main">
  <c r="C8" i="121" l="1"/>
  <c r="C7" i="121" s="1"/>
  <c r="C15" i="121"/>
  <c r="C21" i="121"/>
  <c r="C37" i="121"/>
  <c r="C39" i="121"/>
  <c r="C41" i="121"/>
  <c r="C56" i="121"/>
  <c r="C69" i="121"/>
  <c r="C72" i="121"/>
  <c r="C71" i="121" s="1"/>
  <c r="C74" i="121"/>
  <c r="C81" i="121"/>
  <c r="C80" i="121" s="1"/>
  <c r="C87" i="121"/>
  <c r="C133" i="121"/>
  <c r="C131" i="121" s="1"/>
  <c r="C135" i="121"/>
  <c r="C132" i="121" s="1"/>
  <c r="C73" i="121" l="1"/>
  <c r="C137" i="121" s="1"/>
  <c r="I1110" i="131"/>
  <c r="K2343" i="131"/>
  <c r="L2343" i="131"/>
  <c r="H2341" i="131"/>
  <c r="I2341" i="131"/>
  <c r="J2341" i="131"/>
  <c r="G2341" i="131"/>
  <c r="L2257" i="131"/>
  <c r="K2257" i="131"/>
  <c r="J2256" i="131"/>
  <c r="I2256" i="131"/>
  <c r="I2255" i="131" s="1"/>
  <c r="J301" i="114" s="1"/>
  <c r="H2256" i="131"/>
  <c r="H2255" i="131" s="1"/>
  <c r="I301" i="114" s="1"/>
  <c r="G2256" i="131"/>
  <c r="G2255" i="131" s="1"/>
  <c r="H301" i="114" s="1"/>
  <c r="J2255" i="131"/>
  <c r="A234" i="114"/>
  <c r="L2162" i="131"/>
  <c r="K2162" i="131"/>
  <c r="J2161" i="131"/>
  <c r="I2161" i="131"/>
  <c r="H2161" i="131"/>
  <c r="G2161" i="131"/>
  <c r="G2160" i="131" s="1"/>
  <c r="H235" i="114" s="1"/>
  <c r="H234" i="114" s="1"/>
  <c r="J2160" i="131"/>
  <c r="K235" i="114" s="1"/>
  <c r="K234" i="114" s="1"/>
  <c r="I2160" i="131"/>
  <c r="J235" i="114" s="1"/>
  <c r="J234" i="114" s="1"/>
  <c r="H2160" i="131"/>
  <c r="A232" i="114"/>
  <c r="L2159" i="131"/>
  <c r="K2159" i="131"/>
  <c r="J2158" i="131"/>
  <c r="I2158" i="131"/>
  <c r="I2157" i="131" s="1"/>
  <c r="J233" i="114" s="1"/>
  <c r="J232" i="114" s="1"/>
  <c r="H2158" i="131"/>
  <c r="H2157" i="131" s="1"/>
  <c r="I233" i="114" s="1"/>
  <c r="I232" i="114" s="1"/>
  <c r="G2158" i="131"/>
  <c r="G2157" i="131" s="1"/>
  <c r="H233" i="114" s="1"/>
  <c r="H232" i="114" s="1"/>
  <c r="J2157" i="131"/>
  <c r="A192" i="114"/>
  <c r="A190" i="114"/>
  <c r="L2066" i="131"/>
  <c r="L2065" i="131" s="1"/>
  <c r="L2064" i="131" s="1"/>
  <c r="M193" i="114" s="1"/>
  <c r="M192" i="114" s="1"/>
  <c r="K2066" i="131"/>
  <c r="K2065" i="131" s="1"/>
  <c r="K2064" i="131" s="1"/>
  <c r="L193" i="114" s="1"/>
  <c r="L192" i="114" s="1"/>
  <c r="L2063" i="131"/>
  <c r="L2062" i="131" s="1"/>
  <c r="L2061" i="131" s="1"/>
  <c r="M191" i="114" s="1"/>
  <c r="M190" i="114" s="1"/>
  <c r="K2063" i="131"/>
  <c r="K2062" i="131" s="1"/>
  <c r="K2061" i="131" s="1"/>
  <c r="L191" i="114" s="1"/>
  <c r="L190" i="114" s="1"/>
  <c r="H2062" i="131"/>
  <c r="H2061" i="131" s="1"/>
  <c r="I191" i="114" s="1"/>
  <c r="I190" i="114" s="1"/>
  <c r="I2062" i="131"/>
  <c r="I2061" i="131" s="1"/>
  <c r="J191" i="114" s="1"/>
  <c r="J190" i="114" s="1"/>
  <c r="J2062" i="131"/>
  <c r="J2061" i="131" s="1"/>
  <c r="K191" i="114" s="1"/>
  <c r="K190" i="114" s="1"/>
  <c r="H2065" i="131"/>
  <c r="H2064" i="131" s="1"/>
  <c r="I193" i="114" s="1"/>
  <c r="I192" i="114" s="1"/>
  <c r="I2065" i="131"/>
  <c r="I2064" i="131" s="1"/>
  <c r="J193" i="114" s="1"/>
  <c r="J192" i="114" s="1"/>
  <c r="J2065" i="131"/>
  <c r="J2064" i="131" s="1"/>
  <c r="K193" i="114" s="1"/>
  <c r="K192" i="114" s="1"/>
  <c r="G2065" i="131"/>
  <c r="G2064" i="131" s="1"/>
  <c r="H193" i="114" s="1"/>
  <c r="H192" i="114" s="1"/>
  <c r="G2062" i="131"/>
  <c r="G2061" i="131" s="1"/>
  <c r="H191" i="114" s="1"/>
  <c r="H190" i="114" s="1"/>
  <c r="L1915" i="131"/>
  <c r="K1915" i="131"/>
  <c r="J1914" i="131"/>
  <c r="I1914" i="131"/>
  <c r="I1913" i="131" s="1"/>
  <c r="J345" i="114" s="1"/>
  <c r="H1914" i="131"/>
  <c r="H1913" i="131" s="1"/>
  <c r="I345" i="114" s="1"/>
  <c r="G1914" i="131"/>
  <c r="J1913" i="131"/>
  <c r="K345" i="114" s="1"/>
  <c r="H1807" i="131"/>
  <c r="I1807" i="131"/>
  <c r="J1807" i="131"/>
  <c r="G1807" i="131"/>
  <c r="L1809" i="131"/>
  <c r="K1809" i="131"/>
  <c r="L1808" i="131"/>
  <c r="K1808" i="131"/>
  <c r="L1780" i="131"/>
  <c r="K1780" i="131"/>
  <c r="L1779" i="131"/>
  <c r="K1779" i="131"/>
  <c r="J1778" i="131"/>
  <c r="I1778" i="131"/>
  <c r="H1778" i="131"/>
  <c r="G1778" i="131"/>
  <c r="H1775" i="131"/>
  <c r="I1775" i="131"/>
  <c r="J1775" i="131"/>
  <c r="G1775" i="131"/>
  <c r="L1777" i="131"/>
  <c r="K1777" i="131"/>
  <c r="L1776" i="131"/>
  <c r="K1776" i="131"/>
  <c r="K1703" i="131"/>
  <c r="L1703" i="131"/>
  <c r="L1702" i="131"/>
  <c r="K1702" i="131"/>
  <c r="H1701" i="131"/>
  <c r="H1700" i="131" s="1"/>
  <c r="I1701" i="131"/>
  <c r="I1700" i="131" s="1"/>
  <c r="J1701" i="131"/>
  <c r="J1700" i="131" s="1"/>
  <c r="G1701" i="131"/>
  <c r="G1700" i="131" s="1"/>
  <c r="H1580" i="131"/>
  <c r="I1580" i="131"/>
  <c r="J1580" i="131"/>
  <c r="G1580" i="131"/>
  <c r="L1581" i="131"/>
  <c r="L1580" i="131" s="1"/>
  <c r="K1581" i="131"/>
  <c r="K1580" i="131" s="1"/>
  <c r="H1554" i="131"/>
  <c r="I1554" i="131"/>
  <c r="J1554" i="131"/>
  <c r="G1554" i="131"/>
  <c r="K1556" i="131"/>
  <c r="L1556" i="131"/>
  <c r="L1422" i="131"/>
  <c r="K1422" i="131"/>
  <c r="J1421" i="131"/>
  <c r="I1421" i="131"/>
  <c r="H1421" i="131"/>
  <c r="G1421" i="131"/>
  <c r="H1273" i="131"/>
  <c r="I1273" i="131"/>
  <c r="J1273" i="131"/>
  <c r="G1273" i="131"/>
  <c r="L1275" i="131"/>
  <c r="K1275" i="131"/>
  <c r="L1274" i="131"/>
  <c r="K1274" i="131"/>
  <c r="L1251" i="131"/>
  <c r="K1251" i="131"/>
  <c r="L1250" i="131"/>
  <c r="K1250" i="131"/>
  <c r="J1249" i="131"/>
  <c r="I1249" i="131"/>
  <c r="H1249" i="131"/>
  <c r="G1249" i="131"/>
  <c r="L1237" i="131"/>
  <c r="K1237" i="131"/>
  <c r="L1236" i="131"/>
  <c r="K1236" i="131"/>
  <c r="J1235" i="131"/>
  <c r="I1235" i="131"/>
  <c r="H1235" i="131"/>
  <c r="G1235" i="131"/>
  <c r="L2160" i="131" l="1"/>
  <c r="M235" i="114" s="1"/>
  <c r="M234" i="114" s="1"/>
  <c r="C6" i="121"/>
  <c r="K1701" i="131"/>
  <c r="K1700" i="131" s="1"/>
  <c r="K2255" i="131"/>
  <c r="L301" i="114" s="1"/>
  <c r="L2255" i="131"/>
  <c r="M301" i="114" s="1"/>
  <c r="K301" i="114"/>
  <c r="K2256" i="131"/>
  <c r="L2256" i="131"/>
  <c r="L2161" i="131"/>
  <c r="I235" i="114"/>
  <c r="I234" i="114" s="1"/>
  <c r="K2161" i="131"/>
  <c r="K2160" i="131"/>
  <c r="L235" i="114" s="1"/>
  <c r="L234" i="114" s="1"/>
  <c r="K2157" i="131"/>
  <c r="L233" i="114" s="1"/>
  <c r="L232" i="114" s="1"/>
  <c r="L1775" i="131"/>
  <c r="L1778" i="131"/>
  <c r="L2157" i="131"/>
  <c r="M233" i="114" s="1"/>
  <c r="L2158" i="131"/>
  <c r="K233" i="114"/>
  <c r="K232" i="114" s="1"/>
  <c r="K2158" i="131"/>
  <c r="L1913" i="131"/>
  <c r="M345" i="114" s="1"/>
  <c r="I2060" i="131"/>
  <c r="K1249" i="131"/>
  <c r="K1778" i="131"/>
  <c r="H2060" i="131"/>
  <c r="L1701" i="131"/>
  <c r="L1700" i="131" s="1"/>
  <c r="L2060" i="131"/>
  <c r="K2060" i="131"/>
  <c r="J2060" i="131"/>
  <c r="G2060" i="131"/>
  <c r="L1249" i="131"/>
  <c r="K1914" i="131"/>
  <c r="L1235" i="131"/>
  <c r="G1913" i="131"/>
  <c r="L1914" i="131"/>
  <c r="K1775" i="131"/>
  <c r="L1421" i="131"/>
  <c r="K1421" i="131"/>
  <c r="K1235" i="131"/>
  <c r="K1913" i="131" l="1"/>
  <c r="L345" i="114" s="1"/>
  <c r="H345" i="114"/>
  <c r="H1197" i="131" l="1"/>
  <c r="I1197" i="131"/>
  <c r="J1197" i="131"/>
  <c r="G1197" i="131"/>
  <c r="H1205" i="131"/>
  <c r="I1205" i="131"/>
  <c r="J1205" i="131"/>
  <c r="G1205" i="131"/>
  <c r="L1206" i="131"/>
  <c r="K1206" i="131"/>
  <c r="K1200" i="131"/>
  <c r="L1200" i="131"/>
  <c r="K1201" i="131"/>
  <c r="L1201" i="131"/>
  <c r="K1202" i="131"/>
  <c r="L1202" i="131"/>
  <c r="L1199" i="131"/>
  <c r="K1199" i="131"/>
  <c r="L1198" i="131"/>
  <c r="K1198" i="131"/>
  <c r="K995" i="131"/>
  <c r="L995" i="131"/>
  <c r="H993" i="131"/>
  <c r="I993" i="131"/>
  <c r="J993" i="131"/>
  <c r="G993" i="131"/>
  <c r="L927" i="131"/>
  <c r="K927" i="131"/>
  <c r="L926" i="131"/>
  <c r="K926" i="131"/>
  <c r="J925" i="131"/>
  <c r="I925" i="131"/>
  <c r="H925" i="131"/>
  <c r="G925" i="131"/>
  <c r="L867" i="131"/>
  <c r="K867" i="131"/>
  <c r="J866" i="131"/>
  <c r="I866" i="131"/>
  <c r="H866" i="131"/>
  <c r="G866" i="131"/>
  <c r="L855" i="131"/>
  <c r="K855" i="131"/>
  <c r="K854" i="131" s="1"/>
  <c r="K853" i="131" s="1"/>
  <c r="K852" i="131" s="1"/>
  <c r="H854" i="131"/>
  <c r="H853" i="131" s="1"/>
  <c r="H852" i="131" s="1"/>
  <c r="I854" i="131"/>
  <c r="I853" i="131" s="1"/>
  <c r="I852" i="131" s="1"/>
  <c r="J854" i="131"/>
  <c r="J853" i="131" s="1"/>
  <c r="J852" i="131" s="1"/>
  <c r="L854" i="131"/>
  <c r="L853" i="131" s="1"/>
  <c r="L852" i="131" s="1"/>
  <c r="G854" i="131"/>
  <c r="G853" i="131" s="1"/>
  <c r="G852" i="131" s="1"/>
  <c r="K725" i="131"/>
  <c r="L725" i="131"/>
  <c r="H723" i="131"/>
  <c r="I723" i="131"/>
  <c r="J723" i="131"/>
  <c r="G723" i="131"/>
  <c r="H682" i="131"/>
  <c r="I682" i="131"/>
  <c r="J682" i="131"/>
  <c r="G682" i="131"/>
  <c r="L683" i="131"/>
  <c r="K683" i="131"/>
  <c r="L681" i="131"/>
  <c r="K681" i="131"/>
  <c r="J680" i="131"/>
  <c r="I680" i="131"/>
  <c r="H680" i="131"/>
  <c r="G680" i="131"/>
  <c r="L679" i="131"/>
  <c r="K679" i="131"/>
  <c r="J678" i="131"/>
  <c r="I678" i="131"/>
  <c r="H678" i="131"/>
  <c r="G678" i="131"/>
  <c r="L620" i="131"/>
  <c r="K620" i="131"/>
  <c r="J619" i="131"/>
  <c r="I619" i="131"/>
  <c r="H619" i="131"/>
  <c r="G619" i="131"/>
  <c r="I335" i="131"/>
  <c r="H332" i="131"/>
  <c r="I332" i="131"/>
  <c r="J332" i="131"/>
  <c r="G332" i="131"/>
  <c r="L334" i="131"/>
  <c r="K334" i="131"/>
  <c r="L333" i="131"/>
  <c r="K333" i="131"/>
  <c r="L291" i="131"/>
  <c r="K291" i="131"/>
  <c r="L290" i="131"/>
  <c r="K290" i="131"/>
  <c r="J289" i="131"/>
  <c r="I289" i="131"/>
  <c r="H289" i="131"/>
  <c r="G289" i="131"/>
  <c r="H239" i="131"/>
  <c r="I239" i="131"/>
  <c r="J239" i="131"/>
  <c r="G239" i="131"/>
  <c r="L240" i="131"/>
  <c r="L239" i="131" s="1"/>
  <c r="K240" i="131"/>
  <c r="K239" i="131" s="1"/>
  <c r="K173" i="131"/>
  <c r="L173" i="131"/>
  <c r="K174" i="131"/>
  <c r="L174" i="131"/>
  <c r="H170" i="131"/>
  <c r="I170" i="131"/>
  <c r="J170" i="131"/>
  <c r="G170" i="131"/>
  <c r="L172" i="131"/>
  <c r="K172" i="131"/>
  <c r="L171" i="131"/>
  <c r="K171" i="131"/>
  <c r="L132" i="131"/>
  <c r="K132" i="131"/>
  <c r="L131" i="131"/>
  <c r="K131" i="131"/>
  <c r="J130" i="131"/>
  <c r="I130" i="131"/>
  <c r="H130" i="131"/>
  <c r="G130" i="131"/>
  <c r="L129" i="131"/>
  <c r="K129" i="131"/>
  <c r="L128" i="131"/>
  <c r="K128" i="131"/>
  <c r="J127" i="131"/>
  <c r="I127" i="131"/>
  <c r="H127" i="131"/>
  <c r="G127" i="131"/>
  <c r="K93" i="131"/>
  <c r="L93" i="131"/>
  <c r="H91" i="131"/>
  <c r="I91" i="131"/>
  <c r="J91" i="131"/>
  <c r="G91" i="131"/>
  <c r="L64" i="131"/>
  <c r="K64" i="131"/>
  <c r="L63" i="131"/>
  <c r="K63" i="131"/>
  <c r="J62" i="131"/>
  <c r="I62" i="131"/>
  <c r="H62" i="131"/>
  <c r="G62" i="131"/>
  <c r="H44" i="131"/>
  <c r="I44" i="131"/>
  <c r="J44" i="131"/>
  <c r="G44" i="131"/>
  <c r="L46" i="131"/>
  <c r="K46" i="131"/>
  <c r="L45" i="131"/>
  <c r="K45" i="131"/>
  <c r="L41" i="131"/>
  <c r="K41" i="131"/>
  <c r="L40" i="131"/>
  <c r="K40" i="131"/>
  <c r="J39" i="131"/>
  <c r="I39" i="131"/>
  <c r="H39" i="131"/>
  <c r="G39" i="131"/>
  <c r="K680" i="131" l="1"/>
  <c r="K866" i="131"/>
  <c r="L127" i="131"/>
  <c r="L866" i="131"/>
  <c r="K1197" i="131"/>
  <c r="L1197" i="131"/>
  <c r="K925" i="131"/>
  <c r="L925" i="131"/>
  <c r="K130" i="131"/>
  <c r="L678" i="131"/>
  <c r="L680" i="131"/>
  <c r="L130" i="131"/>
  <c r="L289" i="131"/>
  <c r="L39" i="131"/>
  <c r="L62" i="131"/>
  <c r="L332" i="131"/>
  <c r="L619" i="131"/>
  <c r="K678" i="131"/>
  <c r="K619" i="131"/>
  <c r="K170" i="131"/>
  <c r="K332" i="131"/>
  <c r="K289" i="131"/>
  <c r="L170" i="131"/>
  <c r="K127" i="131"/>
  <c r="L44" i="131"/>
  <c r="K62" i="131"/>
  <c r="K44" i="131"/>
  <c r="K39" i="131"/>
  <c r="H17" i="131" l="1"/>
  <c r="I17" i="131"/>
  <c r="J17" i="131"/>
  <c r="G17" i="131"/>
  <c r="L19" i="131"/>
  <c r="K19" i="131"/>
  <c r="L18" i="131"/>
  <c r="K18" i="131"/>
  <c r="L16" i="131"/>
  <c r="L15" i="131" s="1"/>
  <c r="K16" i="131"/>
  <c r="K15" i="131" s="1"/>
  <c r="H15" i="131"/>
  <c r="I15" i="131"/>
  <c r="J15" i="131"/>
  <c r="G15" i="131"/>
  <c r="L17" i="131" l="1"/>
  <c r="K17" i="131"/>
  <c r="E15" i="1"/>
  <c r="D15" i="1"/>
  <c r="F17" i="1"/>
  <c r="E280" i="1"/>
  <c r="E216" i="1"/>
  <c r="E213" i="1" l="1"/>
  <c r="E266" i="1"/>
  <c r="F275" i="1" l="1"/>
  <c r="F276" i="1"/>
  <c r="E274" i="1"/>
  <c r="D274" i="1"/>
  <c r="E304" i="1" l="1"/>
  <c r="E307" i="1"/>
  <c r="E313" i="1"/>
  <c r="F271" i="1" l="1"/>
  <c r="E219" i="1"/>
  <c r="D219" i="1"/>
  <c r="G1330" i="131" l="1"/>
  <c r="G912" i="131"/>
  <c r="G911" i="131"/>
  <c r="D297" i="1"/>
  <c r="H649" i="131" l="1"/>
  <c r="I649" i="131"/>
  <c r="J649" i="131"/>
  <c r="G649" i="131"/>
  <c r="L650" i="131"/>
  <c r="L649" i="131" s="1"/>
  <c r="K650" i="131"/>
  <c r="K649" i="131" s="1"/>
  <c r="L325" i="131"/>
  <c r="K325" i="131"/>
  <c r="J324" i="131"/>
  <c r="I324" i="131"/>
  <c r="I323" i="131" s="1"/>
  <c r="H324" i="131"/>
  <c r="H323" i="131" s="1"/>
  <c r="G324" i="131"/>
  <c r="G323" i="131" s="1"/>
  <c r="K323" i="131" l="1"/>
  <c r="L324" i="131"/>
  <c r="K324" i="131"/>
  <c r="J323" i="131"/>
  <c r="L323" i="131" s="1"/>
  <c r="A374" i="114" l="1"/>
  <c r="A373" i="114"/>
  <c r="L1885" i="131"/>
  <c r="L1884" i="131" s="1"/>
  <c r="L1883" i="131" s="1"/>
  <c r="K1885" i="131"/>
  <c r="K1884" i="131" s="1"/>
  <c r="K1883" i="131" s="1"/>
  <c r="K1882" i="131" s="1"/>
  <c r="H1884" i="131"/>
  <c r="H1883" i="131" s="1"/>
  <c r="H1882" i="131" s="1"/>
  <c r="I1884" i="131"/>
  <c r="I1883" i="131" s="1"/>
  <c r="I1882" i="131" s="1"/>
  <c r="J1884" i="131"/>
  <c r="J1883" i="131" s="1"/>
  <c r="G1884" i="131"/>
  <c r="G1883" i="131" s="1"/>
  <c r="G1882" i="131" s="1"/>
  <c r="L1057" i="131"/>
  <c r="L1056" i="131" s="1"/>
  <c r="L1055" i="131" s="1"/>
  <c r="L1054" i="131" s="1"/>
  <c r="K1057" i="131"/>
  <c r="K1056" i="131" s="1"/>
  <c r="K1055" i="131" s="1"/>
  <c r="K1054" i="131" s="1"/>
  <c r="H1056" i="131"/>
  <c r="H1055" i="131" s="1"/>
  <c r="H1054" i="131" s="1"/>
  <c r="I1056" i="131"/>
  <c r="I1055" i="131" s="1"/>
  <c r="I1054" i="131" s="1"/>
  <c r="J1056" i="131"/>
  <c r="J1055" i="131" s="1"/>
  <c r="J1054" i="131" s="1"/>
  <c r="G1056" i="131"/>
  <c r="G1055" i="131" s="1"/>
  <c r="G1054" i="131" s="1"/>
  <c r="J1882" i="131" l="1"/>
  <c r="K375" i="114"/>
  <c r="K374" i="114" s="1"/>
  <c r="K373" i="114" s="1"/>
  <c r="L1882" i="131"/>
  <c r="M375" i="114"/>
  <c r="M374" i="114" s="1"/>
  <c r="M373" i="114" s="1"/>
  <c r="I375" i="114"/>
  <c r="I374" i="114" s="1"/>
  <c r="I373" i="114" s="1"/>
  <c r="L375" i="114"/>
  <c r="L374" i="114" s="1"/>
  <c r="L373" i="114" s="1"/>
  <c r="H375" i="114"/>
  <c r="H374" i="114" s="1"/>
  <c r="H373" i="114" s="1"/>
  <c r="J375" i="114"/>
  <c r="J374" i="114" s="1"/>
  <c r="J373" i="114" s="1"/>
  <c r="G171" i="1"/>
  <c r="G172" i="1"/>
  <c r="G170" i="1"/>
  <c r="E286" i="1"/>
  <c r="E297" i="1"/>
  <c r="F170" i="1"/>
  <c r="F171" i="1"/>
  <c r="F172" i="1"/>
  <c r="D72" i="121"/>
  <c r="G1611" i="131" l="1"/>
  <c r="G595" i="131"/>
  <c r="D78" i="1"/>
  <c r="D95" i="1"/>
  <c r="D189" i="1"/>
  <c r="D215" i="1"/>
  <c r="D267" i="1"/>
  <c r="D264" i="1"/>
  <c r="D256" i="1"/>
  <c r="H1323" i="131" l="1"/>
  <c r="H1322" i="131" s="1"/>
  <c r="H1321" i="131" s="1"/>
  <c r="H2380" i="131" s="1"/>
  <c r="I1323" i="131"/>
  <c r="I1322" i="131" s="1"/>
  <c r="J1323" i="131"/>
  <c r="J1322" i="131" s="1"/>
  <c r="G1323" i="131"/>
  <c r="G1322" i="131" s="1"/>
  <c r="L1324" i="131"/>
  <c r="L1323" i="131" s="1"/>
  <c r="L1322" i="131" s="1"/>
  <c r="K1324" i="131"/>
  <c r="K1323" i="131" s="1"/>
  <c r="K1322" i="131" s="1"/>
  <c r="L47" i="114" s="1"/>
  <c r="L46" i="114" s="1"/>
  <c r="L45" i="114" s="1"/>
  <c r="H1100" i="131"/>
  <c r="H1099" i="131" s="1"/>
  <c r="I1100" i="131"/>
  <c r="I1099" i="131" s="1"/>
  <c r="I1098" i="131" s="1"/>
  <c r="J1100" i="131"/>
  <c r="J1099" i="131" s="1"/>
  <c r="G1100" i="131"/>
  <c r="G1099" i="131" s="1"/>
  <c r="L1101" i="131"/>
  <c r="L1100" i="131" s="1"/>
  <c r="L1099" i="131" s="1"/>
  <c r="K1101" i="131"/>
  <c r="K1100" i="131" s="1"/>
  <c r="K1099" i="131" s="1"/>
  <c r="L17" i="114" s="1"/>
  <c r="G1105" i="131"/>
  <c r="H1105" i="131"/>
  <c r="H1104" i="131" s="1"/>
  <c r="I1105" i="131"/>
  <c r="I1104" i="131" s="1"/>
  <c r="I1103" i="131" s="1"/>
  <c r="J1105" i="131"/>
  <c r="K1106" i="131"/>
  <c r="M1106" i="131" s="1"/>
  <c r="L1106" i="131"/>
  <c r="G1109" i="131"/>
  <c r="H1109" i="131"/>
  <c r="I1109" i="131"/>
  <c r="J1109" i="131"/>
  <c r="K1110" i="131"/>
  <c r="M1110" i="131" s="1"/>
  <c r="L1110" i="131"/>
  <c r="K1111" i="131"/>
  <c r="L1111" i="131"/>
  <c r="G1112" i="131"/>
  <c r="H1112" i="131"/>
  <c r="I1112" i="131"/>
  <c r="J1112" i="131"/>
  <c r="H262" i="131"/>
  <c r="I262" i="131"/>
  <c r="J262" i="131"/>
  <c r="G262" i="131"/>
  <c r="L263" i="131"/>
  <c r="K263" i="131"/>
  <c r="A385" i="114"/>
  <c r="A43" i="114"/>
  <c r="A42" i="114"/>
  <c r="A341" i="114"/>
  <c r="A368" i="114"/>
  <c r="A366" i="114"/>
  <c r="A271" i="114"/>
  <c r="I1611" i="131"/>
  <c r="I595" i="131"/>
  <c r="K595" i="131" s="1"/>
  <c r="M595" i="131" s="1"/>
  <c r="E215" i="1"/>
  <c r="B11" i="273"/>
  <c r="L2263" i="131"/>
  <c r="L2262" i="131" s="1"/>
  <c r="L2261" i="131" s="1"/>
  <c r="K2263" i="131"/>
  <c r="K2262" i="131" s="1"/>
  <c r="K2261" i="131" s="1"/>
  <c r="H2262" i="131"/>
  <c r="H2261" i="131" s="1"/>
  <c r="I2262" i="131"/>
  <c r="I2261" i="131" s="1"/>
  <c r="J2262" i="131"/>
  <c r="J2261" i="131" s="1"/>
  <c r="G2262" i="131"/>
  <c r="G2261" i="131" s="1"/>
  <c r="L2132" i="131"/>
  <c r="K2132" i="131"/>
  <c r="J2131" i="131"/>
  <c r="J2130" i="131" s="1"/>
  <c r="K342" i="114" s="1"/>
  <c r="K341" i="114" s="1"/>
  <c r="I2131" i="131"/>
  <c r="I2130" i="131" s="1"/>
  <c r="H2131" i="131"/>
  <c r="G2131" i="131"/>
  <c r="L2126" i="131"/>
  <c r="L2125" i="131" s="1"/>
  <c r="K2126" i="131"/>
  <c r="H2125" i="131"/>
  <c r="I2125" i="131"/>
  <c r="J2125" i="131"/>
  <c r="K2125" i="131"/>
  <c r="G2125" i="131"/>
  <c r="H2109" i="131"/>
  <c r="I2109" i="131"/>
  <c r="J2109" i="131"/>
  <c r="G2109" i="131"/>
  <c r="L2110" i="131"/>
  <c r="L2109" i="131" s="1"/>
  <c r="K2110" i="131"/>
  <c r="K2109" i="131" s="1"/>
  <c r="L1982" i="131"/>
  <c r="L1981" i="131" s="1"/>
  <c r="K1982" i="131"/>
  <c r="K1981" i="131" s="1"/>
  <c r="L1980" i="131"/>
  <c r="L1979" i="131" s="1"/>
  <c r="K1980" i="131"/>
  <c r="K1979" i="131" s="1"/>
  <c r="L1978" i="131"/>
  <c r="L1977" i="131" s="1"/>
  <c r="K1978" i="131"/>
  <c r="K1977" i="131" s="1"/>
  <c r="H1981" i="131"/>
  <c r="I1981" i="131"/>
  <c r="J1981" i="131"/>
  <c r="H1979" i="131"/>
  <c r="I1979" i="131"/>
  <c r="J1979" i="131"/>
  <c r="H1977" i="131"/>
  <c r="I1977" i="131"/>
  <c r="J1977" i="131"/>
  <c r="G1981" i="131"/>
  <c r="G1979" i="131"/>
  <c r="G1977" i="131"/>
  <c r="H1964" i="131"/>
  <c r="H1963" i="131" s="1"/>
  <c r="I369" i="114" s="1"/>
  <c r="I368" i="114" s="1"/>
  <c r="I1964" i="131"/>
  <c r="I1963" i="131" s="1"/>
  <c r="J369" i="114" s="1"/>
  <c r="J368" i="114" s="1"/>
  <c r="J1964" i="131"/>
  <c r="J1963" i="131" s="1"/>
  <c r="K369" i="114" s="1"/>
  <c r="K368" i="114" s="1"/>
  <c r="H1961" i="131"/>
  <c r="H1960" i="131" s="1"/>
  <c r="I367" i="114" s="1"/>
  <c r="I366" i="114" s="1"/>
  <c r="I1961" i="131"/>
  <c r="I1960" i="131" s="1"/>
  <c r="J367" i="114" s="1"/>
  <c r="J366" i="114" s="1"/>
  <c r="J1961" i="131"/>
  <c r="J1960" i="131" s="1"/>
  <c r="K367" i="114" s="1"/>
  <c r="K366" i="114" s="1"/>
  <c r="G1964" i="131"/>
  <c r="G1963" i="131" s="1"/>
  <c r="H369" i="114" s="1"/>
  <c r="H368" i="114" s="1"/>
  <c r="G1961" i="131"/>
  <c r="G1960" i="131" s="1"/>
  <c r="H367" i="114" s="1"/>
  <c r="H366" i="114" s="1"/>
  <c r="L1965" i="131"/>
  <c r="L1964" i="131" s="1"/>
  <c r="L1963" i="131" s="1"/>
  <c r="M369" i="114" s="1"/>
  <c r="M368" i="114" s="1"/>
  <c r="K1965" i="131"/>
  <c r="K1964" i="131" s="1"/>
  <c r="K1963" i="131" s="1"/>
  <c r="L369" i="114" s="1"/>
  <c r="L368" i="114" s="1"/>
  <c r="L1962" i="131"/>
  <c r="L1961" i="131" s="1"/>
  <c r="L1960" i="131" s="1"/>
  <c r="M367" i="114" s="1"/>
  <c r="M366" i="114" s="1"/>
  <c r="K1962" i="131"/>
  <c r="K1961" i="131" s="1"/>
  <c r="K1960" i="131" s="1"/>
  <c r="L367" i="114" s="1"/>
  <c r="L366" i="114" s="1"/>
  <c r="L1957" i="131"/>
  <c r="K1957" i="131"/>
  <c r="L1956" i="131"/>
  <c r="I1956" i="131"/>
  <c r="G1956" i="131"/>
  <c r="K1956" i="131" s="1"/>
  <c r="H1948" i="131"/>
  <c r="I363" i="114" s="1"/>
  <c r="I362" i="114" s="1"/>
  <c r="J1948" i="131"/>
  <c r="K363" i="114" s="1"/>
  <c r="K362" i="114" s="1"/>
  <c r="L1952" i="131"/>
  <c r="K1952" i="131"/>
  <c r="L1951" i="131"/>
  <c r="I1951" i="131"/>
  <c r="G1951" i="131"/>
  <c r="L1947" i="131"/>
  <c r="L1946" i="131" s="1"/>
  <c r="L1945" i="131" s="1"/>
  <c r="K1947" i="131"/>
  <c r="K1946" i="131" s="1"/>
  <c r="K1945" i="131" s="1"/>
  <c r="H1946" i="131"/>
  <c r="H1945" i="131" s="1"/>
  <c r="I1946" i="131"/>
  <c r="I1945" i="131" s="1"/>
  <c r="J1946" i="131"/>
  <c r="J1945" i="131" s="1"/>
  <c r="G1946" i="131"/>
  <c r="G1945" i="131" s="1"/>
  <c r="L1709" i="131"/>
  <c r="L1708" i="131" s="1"/>
  <c r="L1707" i="131" s="1"/>
  <c r="L1706" i="131" s="1"/>
  <c r="L1705" i="131" s="1"/>
  <c r="K1709" i="131"/>
  <c r="K1708" i="131" s="1"/>
  <c r="K1707" i="131" s="1"/>
  <c r="K1706" i="131" s="1"/>
  <c r="K1705" i="131" s="1"/>
  <c r="H1708" i="131"/>
  <c r="H1707" i="131" s="1"/>
  <c r="I1708" i="131"/>
  <c r="I1707" i="131" s="1"/>
  <c r="I1706" i="131" s="1"/>
  <c r="I1705" i="131" s="1"/>
  <c r="J1708" i="131"/>
  <c r="J1707" i="131" s="1"/>
  <c r="J1706" i="131" s="1"/>
  <c r="J1705" i="131" s="1"/>
  <c r="G1708" i="131"/>
  <c r="G1707" i="131" s="1"/>
  <c r="G1706" i="131" s="1"/>
  <c r="G1705" i="131" s="1"/>
  <c r="H1500" i="131"/>
  <c r="H1499" i="131" s="1"/>
  <c r="I1500" i="131"/>
  <c r="I1499" i="131" s="1"/>
  <c r="J44" i="114" s="1"/>
  <c r="J43" i="114" s="1"/>
  <c r="J42" i="114" s="1"/>
  <c r="J1500" i="131"/>
  <c r="J1499" i="131" s="1"/>
  <c r="G1500" i="131"/>
  <c r="G1499" i="131" s="1"/>
  <c r="H44" i="114" s="1"/>
  <c r="H43" i="114" s="1"/>
  <c r="H42" i="114" s="1"/>
  <c r="L1501" i="131"/>
  <c r="L1500" i="131" s="1"/>
  <c r="L1499" i="131" s="1"/>
  <c r="M44" i="114" s="1"/>
  <c r="M43" i="114" s="1"/>
  <c r="M42" i="114" s="1"/>
  <c r="K1501" i="131"/>
  <c r="K1500" i="131" s="1"/>
  <c r="K1499" i="131" s="1"/>
  <c r="L44" i="114" s="1"/>
  <c r="L43" i="114" s="1"/>
  <c r="L42" i="114" s="1"/>
  <c r="L1428" i="131"/>
  <c r="K1428" i="131"/>
  <c r="J1427" i="131"/>
  <c r="I1427" i="131"/>
  <c r="I1426" i="131" s="1"/>
  <c r="H1427" i="131"/>
  <c r="H1426" i="131" s="1"/>
  <c r="G1427" i="131"/>
  <c r="L1420" i="131"/>
  <c r="K1420" i="131"/>
  <c r="J1419" i="131"/>
  <c r="I1419" i="131"/>
  <c r="H1419" i="131"/>
  <c r="G1419" i="131"/>
  <c r="K1419" i="131" s="1"/>
  <c r="L1358" i="131"/>
  <c r="K1358" i="131"/>
  <c r="J1357" i="131"/>
  <c r="J1356" i="131" s="1"/>
  <c r="I1357" i="131"/>
  <c r="I1356" i="131" s="1"/>
  <c r="J386" i="114" s="1"/>
  <c r="J385" i="114" s="1"/>
  <c r="H1357" i="131"/>
  <c r="H1356" i="131" s="1"/>
  <c r="I386" i="114" s="1"/>
  <c r="I385" i="114" s="1"/>
  <c r="G1357" i="131"/>
  <c r="H1132" i="131"/>
  <c r="I1132" i="131"/>
  <c r="J1132" i="131"/>
  <c r="G1132" i="131"/>
  <c r="L1133" i="131"/>
  <c r="L1132" i="131" s="1"/>
  <c r="K1133" i="131"/>
  <c r="K1132" i="131" s="1"/>
  <c r="L826" i="131"/>
  <c r="K826" i="131"/>
  <c r="L825" i="131"/>
  <c r="K825" i="131"/>
  <c r="J824" i="131"/>
  <c r="I824" i="131"/>
  <c r="H824" i="131"/>
  <c r="G824" i="131"/>
  <c r="K714" i="131"/>
  <c r="L714" i="131"/>
  <c r="K715" i="131"/>
  <c r="L715" i="131"/>
  <c r="H711" i="131"/>
  <c r="I711" i="131"/>
  <c r="J711" i="131"/>
  <c r="G711" i="131"/>
  <c r="H608" i="131"/>
  <c r="H607" i="131" s="1"/>
  <c r="I608" i="131"/>
  <c r="I607" i="131" s="1"/>
  <c r="J608" i="131"/>
  <c r="J607" i="131" s="1"/>
  <c r="G608" i="131"/>
  <c r="G607" i="131" s="1"/>
  <c r="L609" i="131"/>
  <c r="K609" i="131"/>
  <c r="L442" i="131"/>
  <c r="L441" i="131" s="1"/>
  <c r="L440" i="131" s="1"/>
  <c r="M272" i="114" s="1"/>
  <c r="M271" i="114" s="1"/>
  <c r="K442" i="131"/>
  <c r="K441" i="131" s="1"/>
  <c r="K440" i="131" s="1"/>
  <c r="H441" i="131"/>
  <c r="H440" i="131" s="1"/>
  <c r="I272" i="114" s="1"/>
  <c r="I271" i="114" s="1"/>
  <c r="I441" i="131"/>
  <c r="I440" i="131" s="1"/>
  <c r="J441" i="131"/>
  <c r="J440" i="131" s="1"/>
  <c r="K272" i="114" s="1"/>
  <c r="K271" i="114" s="1"/>
  <c r="G441" i="131"/>
  <c r="G440" i="131" s="1"/>
  <c r="L425" i="131"/>
  <c r="L424" i="131" s="1"/>
  <c r="K425" i="131"/>
  <c r="K424" i="131" s="1"/>
  <c r="H424" i="131"/>
  <c r="I424" i="131"/>
  <c r="J424" i="131"/>
  <c r="G424" i="131"/>
  <c r="H418" i="131"/>
  <c r="H417" i="131" s="1"/>
  <c r="I261" i="114" s="1"/>
  <c r="I260" i="114" s="1"/>
  <c r="I418" i="131"/>
  <c r="I417" i="131" s="1"/>
  <c r="J261" i="114" s="1"/>
  <c r="J260" i="114" s="1"/>
  <c r="J418" i="131"/>
  <c r="J417" i="131" s="1"/>
  <c r="K261" i="114" s="1"/>
  <c r="K260" i="114" s="1"/>
  <c r="G418" i="131"/>
  <c r="G417" i="131" s="1"/>
  <c r="H261" i="114" s="1"/>
  <c r="H260" i="114" s="1"/>
  <c r="L419" i="131"/>
  <c r="K419" i="131"/>
  <c r="L363" i="131"/>
  <c r="L362" i="131" s="1"/>
  <c r="L361" i="131" s="1"/>
  <c r="K363" i="131"/>
  <c r="K362" i="131" s="1"/>
  <c r="K361" i="131" s="1"/>
  <c r="K360" i="131" s="1"/>
  <c r="K359" i="131" s="1"/>
  <c r="K358" i="131" s="1"/>
  <c r="H362" i="131"/>
  <c r="H361" i="131" s="1"/>
  <c r="I362" i="131"/>
  <c r="I361" i="131" s="1"/>
  <c r="I360" i="131" s="1"/>
  <c r="I359" i="131" s="1"/>
  <c r="I358" i="131" s="1"/>
  <c r="J362" i="131"/>
  <c r="J361" i="131" s="1"/>
  <c r="J360" i="131" s="1"/>
  <c r="J359" i="131" s="1"/>
  <c r="J358" i="131" s="1"/>
  <c r="G362" i="131"/>
  <c r="G361" i="131" s="1"/>
  <c r="G360" i="131" s="1"/>
  <c r="G359" i="131" s="1"/>
  <c r="G358" i="131" s="1"/>
  <c r="K82" i="131"/>
  <c r="L82" i="131"/>
  <c r="H80" i="131"/>
  <c r="H79" i="131" s="1"/>
  <c r="I80" i="131"/>
  <c r="J80" i="131"/>
  <c r="J79" i="131" s="1"/>
  <c r="G80" i="131"/>
  <c r="G79" i="131" s="1"/>
  <c r="H62" i="114" s="1"/>
  <c r="H61" i="114" s="1"/>
  <c r="D304" i="1"/>
  <c r="F188" i="1"/>
  <c r="E189" i="1"/>
  <c r="D307" i="1"/>
  <c r="AK307" i="1" s="1"/>
  <c r="D313" i="1"/>
  <c r="E279" i="1"/>
  <c r="E278" i="1" s="1"/>
  <c r="N278" i="1" s="1"/>
  <c r="F280" i="1"/>
  <c r="F281" i="1"/>
  <c r="F282" i="1"/>
  <c r="F283" i="1"/>
  <c r="F124" i="1"/>
  <c r="F117" i="1"/>
  <c r="E116" i="1"/>
  <c r="F116" i="1" s="1"/>
  <c r="F115" i="1" s="1"/>
  <c r="D116" i="1"/>
  <c r="D115" i="1" s="1"/>
  <c r="AK104" i="1"/>
  <c r="F104" i="1"/>
  <c r="AJ103" i="1"/>
  <c r="E103" i="1"/>
  <c r="D103" i="1"/>
  <c r="D102" i="1" s="1"/>
  <c r="E95" i="1"/>
  <c r="E78" i="1"/>
  <c r="F78" i="1" s="1"/>
  <c r="AK56" i="1"/>
  <c r="F56" i="1"/>
  <c r="AJ55" i="1"/>
  <c r="AJ54" i="1" s="1"/>
  <c r="AK54" i="1" s="1"/>
  <c r="E55" i="1"/>
  <c r="E54" i="1" s="1"/>
  <c r="D55" i="1"/>
  <c r="D54" i="1"/>
  <c r="L2342" i="131"/>
  <c r="L2341" i="131" s="1"/>
  <c r="K2342" i="131"/>
  <c r="K2341" i="131" s="1"/>
  <c r="K2094" i="131"/>
  <c r="M2094" i="131" s="1"/>
  <c r="G2080" i="131"/>
  <c r="G2074" i="131"/>
  <c r="G1954" i="131"/>
  <c r="G1953" i="131" s="1"/>
  <c r="K1681" i="131"/>
  <c r="G1534" i="131"/>
  <c r="G1442" i="131"/>
  <c r="H1183" i="131"/>
  <c r="H1182" i="131" s="1"/>
  <c r="I1183" i="131"/>
  <c r="I1182" i="131" s="1"/>
  <c r="J1183" i="131"/>
  <c r="J1182" i="131" s="1"/>
  <c r="G1183" i="131"/>
  <c r="G1182" i="131" s="1"/>
  <c r="H295" i="114" s="1"/>
  <c r="K1185" i="131"/>
  <c r="L1185" i="131"/>
  <c r="G48" i="131"/>
  <c r="G31" i="131"/>
  <c r="I1564" i="131"/>
  <c r="G2344" i="131"/>
  <c r="H2344" i="131"/>
  <c r="I2344" i="131"/>
  <c r="J2344" i="131"/>
  <c r="R2344" i="131"/>
  <c r="S2344" i="131"/>
  <c r="K2345" i="131"/>
  <c r="L2345" i="131"/>
  <c r="J2054" i="131"/>
  <c r="J2053" i="131" s="1"/>
  <c r="J2052" i="131" s="1"/>
  <c r="K2294" i="131"/>
  <c r="M2294" i="131" s="1"/>
  <c r="K2296" i="131"/>
  <c r="M2296" i="131" s="1"/>
  <c r="K1442" i="131"/>
  <c r="A202" i="114"/>
  <c r="L2147" i="131"/>
  <c r="K2147" i="131"/>
  <c r="J2146" i="131"/>
  <c r="I2146" i="131"/>
  <c r="I2145" i="131" s="1"/>
  <c r="J203" i="114" s="1"/>
  <c r="J202" i="114" s="1"/>
  <c r="H2146" i="131"/>
  <c r="H2145" i="131" s="1"/>
  <c r="I203" i="114" s="1"/>
  <c r="I202" i="114" s="1"/>
  <c r="G2146" i="131"/>
  <c r="A364" i="114"/>
  <c r="H1958" i="131"/>
  <c r="H1955" i="131" s="1"/>
  <c r="I365" i="114" s="1"/>
  <c r="I364" i="114" s="1"/>
  <c r="I1958" i="131"/>
  <c r="J1958" i="131"/>
  <c r="J1955" i="131" s="1"/>
  <c r="K365" i="114" s="1"/>
  <c r="K364" i="114" s="1"/>
  <c r="G1958" i="131"/>
  <c r="L1959" i="131"/>
  <c r="L1958" i="131" s="1"/>
  <c r="K1959" i="131"/>
  <c r="K1958" i="131" s="1"/>
  <c r="I1953" i="131"/>
  <c r="L2124" i="131"/>
  <c r="K2124" i="131"/>
  <c r="J2123" i="131"/>
  <c r="I2123" i="131"/>
  <c r="H2123" i="131"/>
  <c r="G2123" i="131"/>
  <c r="I31" i="131"/>
  <c r="K1534" i="131"/>
  <c r="M1534" i="131" s="1"/>
  <c r="I1677" i="131"/>
  <c r="L1950" i="131"/>
  <c r="K1950" i="131"/>
  <c r="L1949" i="131"/>
  <c r="I1949" i="131"/>
  <c r="G1949" i="131"/>
  <c r="I2080" i="131"/>
  <c r="K2080" i="131" s="1"/>
  <c r="I2074" i="131"/>
  <c r="A155" i="114"/>
  <c r="L846" i="131"/>
  <c r="L845" i="131" s="1"/>
  <c r="L844" i="131" s="1"/>
  <c r="M156" i="114" s="1"/>
  <c r="M155" i="114" s="1"/>
  <c r="K846" i="131"/>
  <c r="K845" i="131" s="1"/>
  <c r="K844" i="131" s="1"/>
  <c r="L156" i="114" s="1"/>
  <c r="L155" i="114" s="1"/>
  <c r="H845" i="131"/>
  <c r="H844" i="131" s="1"/>
  <c r="I156" i="114" s="1"/>
  <c r="I155" i="114" s="1"/>
  <c r="I845" i="131"/>
  <c r="I844" i="131" s="1"/>
  <c r="J156" i="114" s="1"/>
  <c r="J155" i="114" s="1"/>
  <c r="J845" i="131"/>
  <c r="J844" i="131" s="1"/>
  <c r="K156" i="114" s="1"/>
  <c r="K155" i="114" s="1"/>
  <c r="G845" i="131"/>
  <c r="G844" i="131" s="1"/>
  <c r="H156" i="114" s="1"/>
  <c r="H155" i="114" s="1"/>
  <c r="D24" i="39"/>
  <c r="I94" i="114"/>
  <c r="I93" i="114" s="1"/>
  <c r="J94" i="114"/>
  <c r="J93" i="114" s="1"/>
  <c r="K94" i="114"/>
  <c r="K93" i="114" s="1"/>
  <c r="H77" i="131"/>
  <c r="H76" i="131" s="1"/>
  <c r="I77" i="131"/>
  <c r="I76" i="131" s="1"/>
  <c r="J77" i="131"/>
  <c r="J76" i="131" s="1"/>
  <c r="L2365" i="131"/>
  <c r="K2365" i="131"/>
  <c r="M2365" i="131" s="1"/>
  <c r="L2358" i="131"/>
  <c r="K2358" i="131"/>
  <c r="M2358" i="131" s="1"/>
  <c r="L2357" i="131"/>
  <c r="K2357" i="131"/>
  <c r="L2355" i="131"/>
  <c r="K2355" i="131"/>
  <c r="L2354" i="131"/>
  <c r="K2354" i="131"/>
  <c r="L2352" i="131"/>
  <c r="K2352" i="131"/>
  <c r="L2351" i="131"/>
  <c r="K2351" i="131"/>
  <c r="M2351" i="131" s="1"/>
  <c r="L2350" i="131"/>
  <c r="K2350" i="131"/>
  <c r="L2349" i="131"/>
  <c r="K2349" i="131"/>
  <c r="M2349" i="131" s="1"/>
  <c r="L2348" i="131"/>
  <c r="K2348" i="131"/>
  <c r="M2348" i="131" s="1"/>
  <c r="L2347" i="131"/>
  <c r="K2347" i="131"/>
  <c r="M2347" i="131" s="1"/>
  <c r="L2338" i="131"/>
  <c r="K2338" i="131"/>
  <c r="L2335" i="131"/>
  <c r="K2335" i="131"/>
  <c r="M2335" i="131" s="1"/>
  <c r="L2333" i="131"/>
  <c r="K2333" i="131"/>
  <c r="L2331" i="131"/>
  <c r="K2331" i="131"/>
  <c r="M2331" i="131" s="1"/>
  <c r="L2329" i="131"/>
  <c r="K2329" i="131"/>
  <c r="M2329" i="131" s="1"/>
  <c r="L2323" i="131"/>
  <c r="K2323" i="131"/>
  <c r="L2321" i="131"/>
  <c r="K2321" i="131"/>
  <c r="L2318" i="131"/>
  <c r="K2318" i="131"/>
  <c r="L2315" i="131"/>
  <c r="K2315" i="131"/>
  <c r="L2311" i="131"/>
  <c r="K2311" i="131"/>
  <c r="M2311" i="131" s="1"/>
  <c r="L2309" i="131"/>
  <c r="L2307" i="131"/>
  <c r="K2307" i="131"/>
  <c r="M2307" i="131" s="1"/>
  <c r="L2306" i="131"/>
  <c r="K2306" i="131"/>
  <c r="M2306" i="131" s="1"/>
  <c r="L2302" i="131"/>
  <c r="K2302" i="131"/>
  <c r="M2302" i="131" s="1"/>
  <c r="L2299" i="131"/>
  <c r="K2299" i="131"/>
  <c r="M2299" i="131" s="1"/>
  <c r="L2296" i="131"/>
  <c r="L2295" i="131"/>
  <c r="K2295" i="131"/>
  <c r="M2295" i="131" s="1"/>
  <c r="L2294" i="131"/>
  <c r="L2287" i="131"/>
  <c r="K2287" i="131"/>
  <c r="L2281" i="131"/>
  <c r="K2281" i="131"/>
  <c r="M2281" i="131" s="1"/>
  <c r="L2278" i="131"/>
  <c r="K2278" i="131"/>
  <c r="L2276" i="131"/>
  <c r="K2276" i="131"/>
  <c r="M2276" i="131" s="1"/>
  <c r="L2274" i="131"/>
  <c r="K2274" i="131"/>
  <c r="L2272" i="131"/>
  <c r="K2272" i="131"/>
  <c r="M2272" i="131" s="1"/>
  <c r="L2270" i="131"/>
  <c r="K2270" i="131"/>
  <c r="L2260" i="131"/>
  <c r="K2260" i="131"/>
  <c r="M2260" i="131" s="1"/>
  <c r="L2254" i="131"/>
  <c r="K2254" i="131"/>
  <c r="L2251" i="131"/>
  <c r="K2251" i="131"/>
  <c r="L2247" i="131"/>
  <c r="K2247" i="131"/>
  <c r="L2243" i="131"/>
  <c r="L2242" i="131"/>
  <c r="K2242" i="131"/>
  <c r="M2242" i="131" s="1"/>
  <c r="L2239" i="131"/>
  <c r="K2239" i="131"/>
  <c r="M2239" i="131" s="1"/>
  <c r="L2236" i="131"/>
  <c r="K2236" i="131"/>
  <c r="M2236" i="131" s="1"/>
  <c r="L2233" i="131"/>
  <c r="K2233" i="131"/>
  <c r="M2233" i="131" s="1"/>
  <c r="L2230" i="131"/>
  <c r="K2230" i="131"/>
  <c r="M2230" i="131" s="1"/>
  <c r="L2223" i="131"/>
  <c r="K2223" i="131"/>
  <c r="M2223" i="131" s="1"/>
  <c r="L2222" i="131"/>
  <c r="K2222" i="131"/>
  <c r="L2220" i="131"/>
  <c r="K2220" i="131"/>
  <c r="M2220" i="131" s="1"/>
  <c r="L2219" i="131"/>
  <c r="K2219" i="131"/>
  <c r="M2219" i="131" s="1"/>
  <c r="L2218" i="131"/>
  <c r="K2218" i="131"/>
  <c r="M2218" i="131" s="1"/>
  <c r="L2217" i="131"/>
  <c r="K2217" i="131"/>
  <c r="M2217" i="131" s="1"/>
  <c r="L2216" i="131"/>
  <c r="K2216" i="131"/>
  <c r="M2216" i="131" s="1"/>
  <c r="L2215" i="131"/>
  <c r="K2215" i="131"/>
  <c r="M2215" i="131" s="1"/>
  <c r="L2209" i="131"/>
  <c r="K2209" i="131"/>
  <c r="M2209" i="131" s="1"/>
  <c r="L2207" i="131"/>
  <c r="K2207" i="131"/>
  <c r="M2207" i="131" s="1"/>
  <c r="L2205" i="131"/>
  <c r="K2205" i="131"/>
  <c r="M2205" i="131" s="1"/>
  <c r="L2203" i="131"/>
  <c r="K2203" i="131"/>
  <c r="M2203" i="131" s="1"/>
  <c r="L2201" i="131"/>
  <c r="K2201" i="131"/>
  <c r="M2201" i="131" s="1"/>
  <c r="L2199" i="131"/>
  <c r="K2199" i="131"/>
  <c r="L2197" i="131"/>
  <c r="K2197" i="131"/>
  <c r="M2197" i="131" s="1"/>
  <c r="L2194" i="131"/>
  <c r="K2194" i="131"/>
  <c r="M2194" i="131" s="1"/>
  <c r="L2189" i="131"/>
  <c r="K2189" i="131"/>
  <c r="M2189" i="131" s="1"/>
  <c r="L2186" i="131"/>
  <c r="K2186" i="131"/>
  <c r="M2186" i="131" s="1"/>
  <c r="L2183" i="131"/>
  <c r="K2183" i="131"/>
  <c r="M2183" i="131" s="1"/>
  <c r="L2179" i="131"/>
  <c r="K2179" i="131"/>
  <c r="M2179" i="131" s="1"/>
  <c r="L2172" i="131"/>
  <c r="K2172" i="131"/>
  <c r="M2172" i="131" s="1"/>
  <c r="L2167" i="131"/>
  <c r="K2167" i="131"/>
  <c r="M2167" i="131" s="1"/>
  <c r="L2165" i="131"/>
  <c r="K2165" i="131"/>
  <c r="M2165" i="131" s="1"/>
  <c r="L2156" i="131"/>
  <c r="K2156" i="131"/>
  <c r="L2153" i="131"/>
  <c r="K2153" i="131"/>
  <c r="M2153" i="131" s="1"/>
  <c r="L2150" i="131"/>
  <c r="K2150" i="131"/>
  <c r="L2144" i="131"/>
  <c r="K2144" i="131"/>
  <c r="M2144" i="131" s="1"/>
  <c r="L2141" i="131"/>
  <c r="K2141" i="131"/>
  <c r="L2135" i="131"/>
  <c r="K2135" i="131"/>
  <c r="L2129" i="131"/>
  <c r="K2129" i="131"/>
  <c r="L2122" i="131"/>
  <c r="K2122" i="131"/>
  <c r="L2119" i="131"/>
  <c r="K2119" i="131"/>
  <c r="L2116" i="131"/>
  <c r="K2116" i="131"/>
  <c r="L2113" i="131"/>
  <c r="K2113" i="131"/>
  <c r="L2108" i="131"/>
  <c r="K2108" i="131"/>
  <c r="L2102" i="131"/>
  <c r="K2102" i="131"/>
  <c r="M2102" i="131" s="1"/>
  <c r="L2101" i="131"/>
  <c r="K2101" i="131"/>
  <c r="M2101" i="131" s="1"/>
  <c r="L2099" i="131"/>
  <c r="K2099" i="131"/>
  <c r="M2099" i="131" s="1"/>
  <c r="L2098" i="131"/>
  <c r="K2098" i="131"/>
  <c r="M2098" i="131" s="1"/>
  <c r="L2097" i="131"/>
  <c r="K2097" i="131"/>
  <c r="M2097" i="131" s="1"/>
  <c r="L2095" i="131"/>
  <c r="K2095" i="131"/>
  <c r="M2095" i="131" s="1"/>
  <c r="L2094" i="131"/>
  <c r="L2093" i="131"/>
  <c r="K2093" i="131"/>
  <c r="M2093" i="131" s="1"/>
  <c r="L2091" i="131"/>
  <c r="K2091" i="131"/>
  <c r="L2088" i="131"/>
  <c r="K2088" i="131"/>
  <c r="L2084" i="131"/>
  <c r="L2083" i="131" s="1"/>
  <c r="L2082" i="131" s="1"/>
  <c r="L2081" i="131" s="1"/>
  <c r="K2084" i="131"/>
  <c r="K2083" i="131" s="1"/>
  <c r="K2082" i="131" s="1"/>
  <c r="K2081" i="131" s="1"/>
  <c r="L2080" i="131"/>
  <c r="L2077" i="131"/>
  <c r="K2077" i="131"/>
  <c r="L2074" i="131"/>
  <c r="L2070" i="131"/>
  <c r="K2070" i="131"/>
  <c r="M2070" i="131" s="1"/>
  <c r="L2058" i="131"/>
  <c r="K2058" i="131"/>
  <c r="L2055" i="131"/>
  <c r="L2054" i="131" s="1"/>
  <c r="L2053" i="131" s="1"/>
  <c r="K2055" i="131"/>
  <c r="K2054" i="131" s="1"/>
  <c r="K2053" i="131" s="1"/>
  <c r="L2051" i="131"/>
  <c r="K2051" i="131"/>
  <c r="M2051" i="131" s="1"/>
  <c r="L2050" i="131"/>
  <c r="K2050" i="131"/>
  <c r="L2049" i="131"/>
  <c r="K2049" i="131"/>
  <c r="L2047" i="131"/>
  <c r="K2047" i="131"/>
  <c r="L2046" i="131"/>
  <c r="K2046" i="131"/>
  <c r="M2046" i="131" s="1"/>
  <c r="L2045" i="131"/>
  <c r="K2045" i="131"/>
  <c r="L2043" i="131"/>
  <c r="K2043" i="131"/>
  <c r="M2043" i="131" s="1"/>
  <c r="L2042" i="131"/>
  <c r="K2042" i="131"/>
  <c r="M2042" i="131" s="1"/>
  <c r="L2041" i="131"/>
  <c r="K2041" i="131"/>
  <c r="L2034" i="131"/>
  <c r="K2034" i="131"/>
  <c r="L2032" i="131"/>
  <c r="K2032" i="131"/>
  <c r="L2030" i="131"/>
  <c r="K2030" i="131"/>
  <c r="L2028" i="131"/>
  <c r="K2028" i="131"/>
  <c r="L2027" i="131"/>
  <c r="K2027" i="131"/>
  <c r="M2027" i="131" s="1"/>
  <c r="L2023" i="131"/>
  <c r="K2023" i="131"/>
  <c r="M2023" i="131" s="1"/>
  <c r="L2022" i="131"/>
  <c r="K2022" i="131"/>
  <c r="M2022" i="131" s="1"/>
  <c r="L2021" i="131"/>
  <c r="K2021" i="131"/>
  <c r="L2020" i="131"/>
  <c r="K2020" i="131"/>
  <c r="L2019" i="131"/>
  <c r="L2018" i="131"/>
  <c r="K2018" i="131"/>
  <c r="M2018" i="131" s="1"/>
  <c r="L2016" i="131"/>
  <c r="K2016" i="131"/>
  <c r="L2015" i="131"/>
  <c r="K2015" i="131"/>
  <c r="L2013" i="131"/>
  <c r="K2013" i="131"/>
  <c r="M2013" i="131" s="1"/>
  <c r="L2011" i="131"/>
  <c r="K2011" i="131"/>
  <c r="L2009" i="131"/>
  <c r="K2009" i="131"/>
  <c r="M2009" i="131" s="1"/>
  <c r="L2007" i="131"/>
  <c r="K2007" i="131"/>
  <c r="M2007" i="131" s="1"/>
  <c r="L2006" i="131"/>
  <c r="K2006" i="131"/>
  <c r="M2006" i="131" s="1"/>
  <c r="L2005" i="131"/>
  <c r="K2005" i="131"/>
  <c r="M2005" i="131" s="1"/>
  <c r="L2003" i="131"/>
  <c r="K2003" i="131"/>
  <c r="M2003" i="131" s="1"/>
  <c r="L2002" i="131"/>
  <c r="K2002" i="131"/>
  <c r="M2002" i="131" s="1"/>
  <c r="L2001" i="131"/>
  <c r="K2001" i="131"/>
  <c r="M2001" i="131" s="1"/>
  <c r="L1999" i="131"/>
  <c r="K1999" i="131"/>
  <c r="L1997" i="131"/>
  <c r="K1997" i="131"/>
  <c r="L1995" i="131"/>
  <c r="K1995" i="131"/>
  <c r="L1993" i="131"/>
  <c r="K1993" i="131"/>
  <c r="L1992" i="131"/>
  <c r="K1992" i="131"/>
  <c r="L1990" i="131"/>
  <c r="K1990" i="131"/>
  <c r="L1989" i="131"/>
  <c r="K1989" i="131"/>
  <c r="L1987" i="131"/>
  <c r="K1987" i="131"/>
  <c r="L1984" i="131"/>
  <c r="K1984" i="131"/>
  <c r="M1984" i="131" s="1"/>
  <c r="L1976" i="131"/>
  <c r="K1976" i="131"/>
  <c r="L1975" i="131"/>
  <c r="K1975" i="131"/>
  <c r="L1974" i="131"/>
  <c r="K1974" i="131"/>
  <c r="L1973" i="131"/>
  <c r="K1973" i="131"/>
  <c r="L1969" i="131"/>
  <c r="K1969" i="131"/>
  <c r="L1954" i="131"/>
  <c r="L1953" i="131"/>
  <c r="L1944" i="131"/>
  <c r="K1944" i="131"/>
  <c r="L1942" i="131"/>
  <c r="K1942" i="131"/>
  <c r="L1939" i="131"/>
  <c r="K1939" i="131"/>
  <c r="L1936" i="131"/>
  <c r="K1936" i="131"/>
  <c r="L1933" i="131"/>
  <c r="K1933" i="131"/>
  <c r="L1930" i="131"/>
  <c r="K1930" i="131"/>
  <c r="L1927" i="131"/>
  <c r="K1927" i="131"/>
  <c r="L1924" i="131"/>
  <c r="L1922" i="131"/>
  <c r="K1922" i="131"/>
  <c r="L1921" i="131"/>
  <c r="K1921" i="131"/>
  <c r="L1918" i="131"/>
  <c r="K1918" i="131"/>
  <c r="L1911" i="131"/>
  <c r="K1911" i="131"/>
  <c r="L1910" i="131"/>
  <c r="L1909" i="131"/>
  <c r="L1908" i="131"/>
  <c r="L1906" i="131"/>
  <c r="K1906" i="131"/>
  <c r="L1902" i="131"/>
  <c r="K1902" i="131"/>
  <c r="L1899" i="131"/>
  <c r="K1899" i="131"/>
  <c r="L1896" i="131"/>
  <c r="K1896" i="131"/>
  <c r="L1893" i="131"/>
  <c r="K1893" i="131"/>
  <c r="M1893" i="131" s="1"/>
  <c r="L1888" i="131"/>
  <c r="K1888" i="131"/>
  <c r="L1881" i="131"/>
  <c r="K1881" i="131"/>
  <c r="L1876" i="131"/>
  <c r="K1876" i="131"/>
  <c r="L1874" i="131"/>
  <c r="K1874" i="131"/>
  <c r="M1874" i="131" s="1"/>
  <c r="L1868" i="131"/>
  <c r="K1868" i="131"/>
  <c r="M1868" i="131" s="1"/>
  <c r="L1866" i="131"/>
  <c r="K1866" i="131"/>
  <c r="M1866" i="131" s="1"/>
  <c r="L1863" i="131"/>
  <c r="K1863" i="131"/>
  <c r="M1863" i="131" s="1"/>
  <c r="L1861" i="131"/>
  <c r="K1861" i="131"/>
  <c r="L1860" i="131"/>
  <c r="K1860" i="131"/>
  <c r="M1860" i="131" s="1"/>
  <c r="L1857" i="131"/>
  <c r="K1857" i="131"/>
  <c r="M1857" i="131" s="1"/>
  <c r="L1856" i="131"/>
  <c r="K1856" i="131"/>
  <c r="M1856" i="131" s="1"/>
  <c r="L1853" i="131"/>
  <c r="K1853" i="131"/>
  <c r="L1850" i="131"/>
  <c r="K1850" i="131"/>
  <c r="L1847" i="131"/>
  <c r="K1847" i="131"/>
  <c r="L1846" i="131"/>
  <c r="K1846" i="131"/>
  <c r="L1843" i="131"/>
  <c r="K1843" i="131"/>
  <c r="L1842" i="131"/>
  <c r="K1842" i="131"/>
  <c r="L1839" i="131"/>
  <c r="K1839" i="131"/>
  <c r="L1836" i="131"/>
  <c r="K1836" i="131"/>
  <c r="L1833" i="131"/>
  <c r="K1833" i="131"/>
  <c r="L1830" i="131"/>
  <c r="K1830" i="131"/>
  <c r="L1827" i="131"/>
  <c r="K1827" i="131"/>
  <c r="L1824" i="131"/>
  <c r="K1824" i="131"/>
  <c r="M1824" i="131" s="1"/>
  <c r="L1819" i="131"/>
  <c r="K1819" i="131"/>
  <c r="L1818" i="131"/>
  <c r="K1818" i="131"/>
  <c r="L1816" i="131"/>
  <c r="K1816" i="131"/>
  <c r="M1816" i="131" s="1"/>
  <c r="L1811" i="131"/>
  <c r="K1811" i="131"/>
  <c r="M1811" i="131" s="1"/>
  <c r="L1810" i="131"/>
  <c r="K1810" i="131"/>
  <c r="L1806" i="131"/>
  <c r="K1806" i="131"/>
  <c r="L1805" i="131"/>
  <c r="K1805" i="131"/>
  <c r="L1803" i="131"/>
  <c r="K1803" i="131"/>
  <c r="M1803" i="131" s="1"/>
  <c r="L1802" i="131"/>
  <c r="K1802" i="131"/>
  <c r="M1802" i="131" s="1"/>
  <c r="L1801" i="131"/>
  <c r="K1801" i="131"/>
  <c r="L1800" i="131"/>
  <c r="K1800" i="131"/>
  <c r="L1799" i="131"/>
  <c r="K1799" i="131"/>
  <c r="M1799" i="131" s="1"/>
  <c r="L1798" i="131"/>
  <c r="K1798" i="131"/>
  <c r="L1797" i="131"/>
  <c r="K1797" i="131"/>
  <c r="M1797" i="131" s="1"/>
  <c r="L1796" i="131"/>
  <c r="K1796" i="131"/>
  <c r="M1796" i="131" s="1"/>
  <c r="L1794" i="131"/>
  <c r="K1794" i="131"/>
  <c r="M1794" i="131" s="1"/>
  <c r="L1793" i="131"/>
  <c r="K1793" i="131"/>
  <c r="L1791" i="131"/>
  <c r="K1791" i="131"/>
  <c r="M1791" i="131" s="1"/>
  <c r="L1790" i="131"/>
  <c r="K1790" i="131"/>
  <c r="L1788" i="131"/>
  <c r="K1788" i="131"/>
  <c r="L1786" i="131"/>
  <c r="K1786" i="131"/>
  <c r="L1785" i="131"/>
  <c r="K1785" i="131"/>
  <c r="L1784" i="131"/>
  <c r="K1784" i="131"/>
  <c r="L1782" i="131"/>
  <c r="K1782" i="131"/>
  <c r="M1782" i="131" s="1"/>
  <c r="L1773" i="131"/>
  <c r="K1773" i="131"/>
  <c r="L1766" i="131"/>
  <c r="K1766" i="131"/>
  <c r="M1766" i="131" s="1"/>
  <c r="L1763" i="131"/>
  <c r="K1763" i="131"/>
  <c r="L1761" i="131"/>
  <c r="K1761" i="131"/>
  <c r="M1761" i="131" s="1"/>
  <c r="L1759" i="131"/>
  <c r="K1759" i="131"/>
  <c r="M1759" i="131" s="1"/>
  <c r="L1757" i="131"/>
  <c r="K1757" i="131"/>
  <c r="L1756" i="131"/>
  <c r="K1756" i="131"/>
  <c r="M1756" i="131" s="1"/>
  <c r="L1754" i="131"/>
  <c r="K1754" i="131"/>
  <c r="M1754" i="131" s="1"/>
  <c r="L1752" i="131"/>
  <c r="K1752" i="131"/>
  <c r="M1752" i="131" s="1"/>
  <c r="L1750" i="131"/>
  <c r="K1750" i="131"/>
  <c r="M1750" i="131" s="1"/>
  <c r="L1748" i="131"/>
  <c r="K1748" i="131"/>
  <c r="L1746" i="131"/>
  <c r="K1746" i="131"/>
  <c r="M1746" i="131" s="1"/>
  <c r="L1744" i="131"/>
  <c r="K1744" i="131"/>
  <c r="M1744" i="131" s="1"/>
  <c r="L1742" i="131"/>
  <c r="K1742" i="131"/>
  <c r="M1742" i="131" s="1"/>
  <c r="L1736" i="131"/>
  <c r="K1736" i="131"/>
  <c r="M1736" i="131" s="1"/>
  <c r="L1730" i="131"/>
  <c r="K1730" i="131"/>
  <c r="M1730" i="131" s="1"/>
  <c r="L1723" i="131"/>
  <c r="K1723" i="131"/>
  <c r="M1723" i="131" s="1"/>
  <c r="L1716" i="131"/>
  <c r="K1716" i="131"/>
  <c r="M1716" i="131" s="1"/>
  <c r="L1714" i="131"/>
  <c r="K1714" i="131"/>
  <c r="M1714" i="131" s="1"/>
  <c r="L1712" i="131"/>
  <c r="K1712" i="131"/>
  <c r="M1712" i="131" s="1"/>
  <c r="L1699" i="131"/>
  <c r="K1699" i="131"/>
  <c r="L1698" i="131"/>
  <c r="K1698" i="131"/>
  <c r="M1698" i="131" s="1"/>
  <c r="L1696" i="131"/>
  <c r="K1696" i="131"/>
  <c r="L1695" i="131"/>
  <c r="K1695" i="131"/>
  <c r="L1693" i="131"/>
  <c r="K1693" i="131"/>
  <c r="M1693" i="131" s="1"/>
  <c r="L1692" i="131"/>
  <c r="K1692" i="131"/>
  <c r="M1692" i="131" s="1"/>
  <c r="L1691" i="131"/>
  <c r="K1691" i="131"/>
  <c r="M1691" i="131" s="1"/>
  <c r="L1690" i="131"/>
  <c r="K1690" i="131"/>
  <c r="M1690" i="131" s="1"/>
  <c r="L1689" i="131"/>
  <c r="K1689" i="131"/>
  <c r="M1689" i="131" s="1"/>
  <c r="L1688" i="131"/>
  <c r="K1688" i="131"/>
  <c r="M1688" i="131" s="1"/>
  <c r="L1687" i="131"/>
  <c r="K1687" i="131"/>
  <c r="L1685" i="131"/>
  <c r="K1685" i="131"/>
  <c r="L1684" i="131"/>
  <c r="K1684" i="131"/>
  <c r="L1682" i="131"/>
  <c r="K1682" i="131"/>
  <c r="M1682" i="131" s="1"/>
  <c r="L1681" i="131"/>
  <c r="L1680" i="131"/>
  <c r="K1680" i="131"/>
  <c r="L1679" i="131"/>
  <c r="K1679" i="131"/>
  <c r="M1679" i="131" s="1"/>
  <c r="L1678" i="131"/>
  <c r="K1678" i="131"/>
  <c r="L1676" i="131"/>
  <c r="K1676" i="131"/>
  <c r="M1676" i="131" s="1"/>
  <c r="L1668" i="131"/>
  <c r="K1668" i="131"/>
  <c r="M1668" i="131" s="1"/>
  <c r="L1666" i="131"/>
  <c r="K1666" i="131"/>
  <c r="M1666" i="131" s="1"/>
  <c r="L1664" i="131"/>
  <c r="K1664" i="131"/>
  <c r="L1662" i="131"/>
  <c r="K1662" i="131"/>
  <c r="M1662" i="131" s="1"/>
  <c r="L1660" i="131"/>
  <c r="K1660" i="131"/>
  <c r="M1660" i="131" s="1"/>
  <c r="L1658" i="131"/>
  <c r="K1658" i="131"/>
  <c r="M1658" i="131" s="1"/>
  <c r="L1656" i="131"/>
  <c r="K1656" i="131"/>
  <c r="M1656" i="131" s="1"/>
  <c r="L1654" i="131"/>
  <c r="K1654" i="131"/>
  <c r="M1654" i="131" s="1"/>
  <c r="L1652" i="131"/>
  <c r="K1652" i="131"/>
  <c r="M1652" i="131" s="1"/>
  <c r="L1650" i="131"/>
  <c r="K1650" i="131"/>
  <c r="M1650" i="131" s="1"/>
  <c r="L1647" i="131"/>
  <c r="K1647" i="131"/>
  <c r="M1647" i="131" s="1"/>
  <c r="L1643" i="131"/>
  <c r="K1643" i="131"/>
  <c r="M1643" i="131" s="1"/>
  <c r="L1639" i="131"/>
  <c r="K1639" i="131"/>
  <c r="M1639" i="131" s="1"/>
  <c r="L1636" i="131"/>
  <c r="K1636" i="131"/>
  <c r="M1636" i="131" s="1"/>
  <c r="L1633" i="131"/>
  <c r="K1633" i="131"/>
  <c r="L1631" i="131"/>
  <c r="K1631" i="131"/>
  <c r="M1631" i="131" s="1"/>
  <c r="L1626" i="131"/>
  <c r="K1626" i="131"/>
  <c r="L1623" i="131"/>
  <c r="K1623" i="131"/>
  <c r="M1623" i="131" s="1"/>
  <c r="L1621" i="131"/>
  <c r="K1621" i="131"/>
  <c r="L1615" i="131"/>
  <c r="K1615" i="131"/>
  <c r="M1615" i="131" s="1"/>
  <c r="L1613" i="131"/>
  <c r="K1613" i="131"/>
  <c r="M1613" i="131" s="1"/>
  <c r="L1611" i="131"/>
  <c r="K1611" i="131"/>
  <c r="M1611" i="131" s="1"/>
  <c r="L1606" i="131"/>
  <c r="K1606" i="131"/>
  <c r="M1606" i="131" s="1"/>
  <c r="L1604" i="131"/>
  <c r="K1604" i="131"/>
  <c r="M1604" i="131" s="1"/>
  <c r="L1602" i="131"/>
  <c r="K1602" i="131"/>
  <c r="M1602" i="131" s="1"/>
  <c r="L1600" i="131"/>
  <c r="K1600" i="131"/>
  <c r="M1600" i="131" s="1"/>
  <c r="L1598" i="131"/>
  <c r="K1598" i="131"/>
  <c r="M1598" i="131" s="1"/>
  <c r="L1595" i="131"/>
  <c r="K1595" i="131"/>
  <c r="M1595" i="131" s="1"/>
  <c r="L1593" i="131"/>
  <c r="K1593" i="131"/>
  <c r="L1591" i="131"/>
  <c r="K1591" i="131"/>
  <c r="M1591" i="131" s="1"/>
  <c r="L1589" i="131"/>
  <c r="K1589" i="131"/>
  <c r="L1588" i="131"/>
  <c r="K1588" i="131"/>
  <c r="M1588" i="131" s="1"/>
  <c r="L1579" i="131"/>
  <c r="K1579" i="131"/>
  <c r="M1579" i="131" s="1"/>
  <c r="L1578" i="131"/>
  <c r="K1578" i="131"/>
  <c r="M1578" i="131" s="1"/>
  <c r="L1577" i="131"/>
  <c r="K1577" i="131"/>
  <c r="M1577" i="131" s="1"/>
  <c r="L1575" i="131"/>
  <c r="K1575" i="131"/>
  <c r="M1575" i="131" s="1"/>
  <c r="L1574" i="131"/>
  <c r="K1574" i="131"/>
  <c r="M1574" i="131" s="1"/>
  <c r="L1573" i="131"/>
  <c r="K1573" i="131"/>
  <c r="L1572" i="131"/>
  <c r="K1572" i="131"/>
  <c r="M1572" i="131" s="1"/>
  <c r="L1571" i="131"/>
  <c r="K1571" i="131"/>
  <c r="L1569" i="131"/>
  <c r="K1569" i="131"/>
  <c r="M1569" i="131" s="1"/>
  <c r="L1568" i="131"/>
  <c r="K1568" i="131"/>
  <c r="L1567" i="131"/>
  <c r="K1567" i="131"/>
  <c r="M1567" i="131" s="1"/>
  <c r="L1566" i="131"/>
  <c r="K1566" i="131"/>
  <c r="M1566" i="131" s="1"/>
  <c r="L1565" i="131"/>
  <c r="K1565" i="131"/>
  <c r="M1565" i="131" s="1"/>
  <c r="L1561" i="131"/>
  <c r="K1561" i="131"/>
  <c r="L1559" i="131"/>
  <c r="K1559" i="131"/>
  <c r="L1557" i="131"/>
  <c r="K1557" i="131"/>
  <c r="L1555" i="131"/>
  <c r="K1555" i="131"/>
  <c r="L1552" i="131"/>
  <c r="K1552" i="131"/>
  <c r="L1548" i="131"/>
  <c r="K1548" i="131"/>
  <c r="L1546" i="131"/>
  <c r="K1546" i="131"/>
  <c r="M1546" i="131" s="1"/>
  <c r="L1544" i="131"/>
  <c r="K1544" i="131"/>
  <c r="M1544" i="131" s="1"/>
  <c r="L1542" i="131"/>
  <c r="K1542" i="131"/>
  <c r="L1540" i="131"/>
  <c r="K1540" i="131"/>
  <c r="M1540" i="131" s="1"/>
  <c r="L1534" i="131"/>
  <c r="L1529" i="131"/>
  <c r="K1529" i="131"/>
  <c r="L1526" i="131"/>
  <c r="K1526" i="131"/>
  <c r="M1526" i="131" s="1"/>
  <c r="L1520" i="131"/>
  <c r="K1520" i="131"/>
  <c r="M1520" i="131" s="1"/>
  <c r="L1518" i="131"/>
  <c r="K1518" i="131"/>
  <c r="L1514" i="131"/>
  <c r="K1514" i="131"/>
  <c r="M1514" i="131" s="1"/>
  <c r="L1513" i="131"/>
  <c r="K1513" i="131"/>
  <c r="M1513" i="131" s="1"/>
  <c r="L1512" i="131"/>
  <c r="K1512" i="131"/>
  <c r="M1512" i="131" s="1"/>
  <c r="L1506" i="131"/>
  <c r="K1506" i="131"/>
  <c r="M1506" i="131" s="1"/>
  <c r="L1504" i="131"/>
  <c r="L1496" i="131"/>
  <c r="K1496" i="131"/>
  <c r="L1494" i="131"/>
  <c r="K1494" i="131"/>
  <c r="L1489" i="131"/>
  <c r="K1489" i="131"/>
  <c r="L1487" i="131"/>
  <c r="K1487" i="131"/>
  <c r="L1481" i="131"/>
  <c r="K1481" i="131"/>
  <c r="L1477" i="131"/>
  <c r="K1477" i="131"/>
  <c r="L1475" i="131"/>
  <c r="K1475" i="131"/>
  <c r="L1471" i="131"/>
  <c r="K1471" i="131"/>
  <c r="L1470" i="131"/>
  <c r="K1470" i="131"/>
  <c r="L1468" i="131"/>
  <c r="K1468" i="131"/>
  <c r="L1467" i="131"/>
  <c r="K1467" i="131"/>
  <c r="L1462" i="131"/>
  <c r="K1462" i="131"/>
  <c r="M1462" i="131" s="1"/>
  <c r="L1460" i="131"/>
  <c r="K1460" i="131"/>
  <c r="P1460" i="131" s="1"/>
  <c r="L1458" i="131"/>
  <c r="K1458" i="131"/>
  <c r="M1458" i="131" s="1"/>
  <c r="L1456" i="131"/>
  <c r="K1456" i="131"/>
  <c r="M1456" i="131" s="1"/>
  <c r="L1454" i="131"/>
  <c r="K1454" i="131"/>
  <c r="M1454" i="131" s="1"/>
  <c r="L1452" i="131"/>
  <c r="K1452" i="131"/>
  <c r="L1449" i="131"/>
  <c r="K1449" i="131"/>
  <c r="L1445" i="131"/>
  <c r="K1445" i="131"/>
  <c r="L1442" i="131"/>
  <c r="L1439" i="131"/>
  <c r="K1439" i="131"/>
  <c r="L1436" i="131"/>
  <c r="K1436" i="131"/>
  <c r="L1431" i="131"/>
  <c r="K1431" i="131"/>
  <c r="L1418" i="131"/>
  <c r="K1418" i="131"/>
  <c r="L1415" i="131"/>
  <c r="K1415" i="131"/>
  <c r="L1408" i="131"/>
  <c r="K1408" i="131"/>
  <c r="M1408" i="131" s="1"/>
  <c r="L1406" i="131"/>
  <c r="K1406" i="131"/>
  <c r="M1406" i="131" s="1"/>
  <c r="L1404" i="131"/>
  <c r="K1404" i="131"/>
  <c r="M1404" i="131" s="1"/>
  <c r="L1402" i="131"/>
  <c r="K1402" i="131"/>
  <c r="M1402" i="131" s="1"/>
  <c r="L1400" i="131"/>
  <c r="K1400" i="131"/>
  <c r="M1400" i="131" s="1"/>
  <c r="L1399" i="131"/>
  <c r="K1399" i="131"/>
  <c r="M1399" i="131" s="1"/>
  <c r="L1398" i="131"/>
  <c r="K1398" i="131"/>
  <c r="M1398" i="131" s="1"/>
  <c r="L1396" i="131"/>
  <c r="K1396" i="131"/>
  <c r="L1395" i="131"/>
  <c r="K1395" i="131"/>
  <c r="M1395" i="131" s="1"/>
  <c r="L1393" i="131"/>
  <c r="K1393" i="131"/>
  <c r="M1393" i="131" s="1"/>
  <c r="L1392" i="131"/>
  <c r="K1392" i="131"/>
  <c r="M1392" i="131" s="1"/>
  <c r="L1391" i="131"/>
  <c r="K1391" i="131"/>
  <c r="M1391" i="131" s="1"/>
  <c r="L1389" i="131"/>
  <c r="K1389" i="131"/>
  <c r="M1389" i="131" s="1"/>
  <c r="L1387" i="131"/>
  <c r="K1387" i="131"/>
  <c r="L1386" i="131"/>
  <c r="K1386" i="131"/>
  <c r="L1385" i="131"/>
  <c r="K1385" i="131"/>
  <c r="L1383" i="131"/>
  <c r="K1383" i="131"/>
  <c r="L1381" i="131"/>
  <c r="K1381" i="131"/>
  <c r="L1379" i="131"/>
  <c r="K1379" i="131"/>
  <c r="M1379" i="131" s="1"/>
  <c r="L1378" i="131"/>
  <c r="K1378" i="131"/>
  <c r="M1378" i="131" s="1"/>
  <c r="L1376" i="131"/>
  <c r="K1376" i="131"/>
  <c r="M1376" i="131" s="1"/>
  <c r="L1374" i="131"/>
  <c r="K1374" i="131"/>
  <c r="L1372" i="131"/>
  <c r="K1372" i="131"/>
  <c r="M1372" i="131" s="1"/>
  <c r="L1370" i="131"/>
  <c r="K1370" i="131"/>
  <c r="L1369" i="131"/>
  <c r="K1369" i="131"/>
  <c r="M1369" i="131" s="1"/>
  <c r="L1368" i="131"/>
  <c r="K1368" i="131"/>
  <c r="L1367" i="131"/>
  <c r="K1367" i="131"/>
  <c r="M1367" i="131" s="1"/>
  <c r="L1366" i="131"/>
  <c r="K1366" i="131"/>
  <c r="L1364" i="131"/>
  <c r="K1364" i="131"/>
  <c r="M1364" i="131" s="1"/>
  <c r="L1362" i="131"/>
  <c r="K1362" i="131"/>
  <c r="L1361" i="131"/>
  <c r="K1361" i="131"/>
  <c r="L1360" i="131"/>
  <c r="L1355" i="131"/>
  <c r="K1355" i="131"/>
  <c r="L1352" i="131"/>
  <c r="K1352" i="131"/>
  <c r="M1352" i="131" s="1"/>
  <c r="L1351" i="131"/>
  <c r="K1351" i="131"/>
  <c r="L1347" i="131"/>
  <c r="K1347" i="131"/>
  <c r="M1347" i="131" s="1"/>
  <c r="L1345" i="131"/>
  <c r="K1345" i="131"/>
  <c r="M1345" i="131" s="1"/>
  <c r="L1344" i="131"/>
  <c r="K1344" i="131"/>
  <c r="M1344" i="131" s="1"/>
  <c r="L1341" i="131"/>
  <c r="L1338" i="131"/>
  <c r="K1338" i="131"/>
  <c r="M1338" i="131" s="1"/>
  <c r="L1335" i="131"/>
  <c r="K1335" i="131"/>
  <c r="M1335" i="131" s="1"/>
  <c r="L1332" i="131"/>
  <c r="K1332" i="131"/>
  <c r="L1331" i="131"/>
  <c r="K1331" i="131"/>
  <c r="M1331" i="131" s="1"/>
  <c r="L1328" i="131"/>
  <c r="K1328" i="131"/>
  <c r="M1328" i="131" s="1"/>
  <c r="L1320" i="131"/>
  <c r="K1320" i="131"/>
  <c r="L1319" i="131"/>
  <c r="K1319" i="131"/>
  <c r="L1316" i="131"/>
  <c r="K1316" i="131"/>
  <c r="L1314" i="131"/>
  <c r="K1314" i="131"/>
  <c r="L1313" i="131"/>
  <c r="K1313" i="131"/>
  <c r="L1310" i="131"/>
  <c r="K1310" i="131"/>
  <c r="K1309" i="131"/>
  <c r="L1305" i="131"/>
  <c r="K1305" i="131"/>
  <c r="M1305" i="131" s="1"/>
  <c r="L1302" i="131"/>
  <c r="K1302" i="131"/>
  <c r="L1301" i="131"/>
  <c r="K1301" i="131"/>
  <c r="M1301" i="131" s="1"/>
  <c r="L1298" i="131"/>
  <c r="K1298" i="131"/>
  <c r="M1298" i="131" s="1"/>
  <c r="L1295" i="131"/>
  <c r="K1295" i="131"/>
  <c r="M1295" i="131" s="1"/>
  <c r="L1292" i="131"/>
  <c r="K1292" i="131"/>
  <c r="M1292" i="131" s="1"/>
  <c r="L1287" i="131"/>
  <c r="K1287" i="131"/>
  <c r="M1287" i="131" s="1"/>
  <c r="L1285" i="131"/>
  <c r="K1285" i="131"/>
  <c r="M1285" i="131" s="1"/>
  <c r="L1281" i="131"/>
  <c r="K1281" i="131"/>
  <c r="L1277" i="131"/>
  <c r="K1277" i="131"/>
  <c r="M1277" i="131" s="1"/>
  <c r="L1276" i="131"/>
  <c r="K1276" i="131"/>
  <c r="L1272" i="131"/>
  <c r="K1272" i="131"/>
  <c r="L1271" i="131"/>
  <c r="K1271" i="131"/>
  <c r="L1269" i="131"/>
  <c r="K1269" i="131"/>
  <c r="M1269" i="131" s="1"/>
  <c r="L1268" i="131"/>
  <c r="K1268" i="131"/>
  <c r="L1267" i="131"/>
  <c r="K1267" i="131"/>
  <c r="M1267" i="131" s="1"/>
  <c r="L1266" i="131"/>
  <c r="K1266" i="131"/>
  <c r="M1266" i="131" s="1"/>
  <c r="L1265" i="131"/>
  <c r="K1265" i="131"/>
  <c r="M1265" i="131" s="1"/>
  <c r="L1264" i="131"/>
  <c r="K1264" i="131"/>
  <c r="M1264" i="131" s="1"/>
  <c r="L1263" i="131"/>
  <c r="K1263" i="131"/>
  <c r="M1263" i="131" s="1"/>
  <c r="L1262" i="131"/>
  <c r="K1262" i="131"/>
  <c r="M1262" i="131" s="1"/>
  <c r="L1261" i="131"/>
  <c r="K1261" i="131"/>
  <c r="M1261" i="131" s="1"/>
  <c r="L1259" i="131"/>
  <c r="K1259" i="131"/>
  <c r="L1258" i="131"/>
  <c r="K1258" i="131"/>
  <c r="L1256" i="131"/>
  <c r="K1256" i="131"/>
  <c r="L1254" i="131"/>
  <c r="K1254" i="131"/>
  <c r="L1253" i="131"/>
  <c r="K1253" i="131"/>
  <c r="L1246" i="131"/>
  <c r="K1246" i="131"/>
  <c r="M1246" i="131" s="1"/>
  <c r="L1245" i="131"/>
  <c r="K1245" i="131"/>
  <c r="M1245" i="131" s="1"/>
  <c r="L1243" i="131"/>
  <c r="K1243" i="131"/>
  <c r="L1242" i="131"/>
  <c r="K1242" i="131"/>
  <c r="L1240" i="131"/>
  <c r="K1240" i="131"/>
  <c r="L1239" i="131"/>
  <c r="K1239" i="131"/>
  <c r="M1239" i="131" s="1"/>
  <c r="L1230" i="131"/>
  <c r="K1230" i="131"/>
  <c r="M1230" i="131" s="1"/>
  <c r="L1228" i="131"/>
  <c r="K1228" i="131"/>
  <c r="M1228" i="131" s="1"/>
  <c r="L1227" i="131"/>
  <c r="K1227" i="131"/>
  <c r="L1225" i="131"/>
  <c r="K1225" i="131"/>
  <c r="M1225" i="131" s="1"/>
  <c r="L1219" i="131"/>
  <c r="K1219" i="131"/>
  <c r="M1219" i="131" s="1"/>
  <c r="L1217" i="131"/>
  <c r="K1217" i="131"/>
  <c r="L1215" i="131"/>
  <c r="K1215" i="131"/>
  <c r="L1213" i="131"/>
  <c r="K1213" i="131"/>
  <c r="L1211" i="131"/>
  <c r="K1211" i="131"/>
  <c r="L1209" i="131"/>
  <c r="K1209" i="131"/>
  <c r="M1209" i="131" s="1"/>
  <c r="L1207" i="131"/>
  <c r="L1205" i="131" s="1"/>
  <c r="K1207" i="131"/>
  <c r="K1205" i="131" s="1"/>
  <c r="L1204" i="131"/>
  <c r="K1204" i="131"/>
  <c r="L1195" i="131"/>
  <c r="K1195" i="131"/>
  <c r="M1195" i="131" s="1"/>
  <c r="L1191" i="131"/>
  <c r="K1191" i="131"/>
  <c r="M1191" i="131" s="1"/>
  <c r="L1188" i="131"/>
  <c r="K1188" i="131"/>
  <c r="L1184" i="131"/>
  <c r="L1183" i="131" s="1"/>
  <c r="K1184" i="131"/>
  <c r="M1184" i="131" s="1"/>
  <c r="L1181" i="131"/>
  <c r="K1181" i="131"/>
  <c r="M1181" i="131" s="1"/>
  <c r="L1178" i="131"/>
  <c r="K1178" i="131"/>
  <c r="L1174" i="131"/>
  <c r="K1174" i="131"/>
  <c r="L1170" i="131"/>
  <c r="K1170" i="131"/>
  <c r="L1167" i="131"/>
  <c r="K1167" i="131"/>
  <c r="L1165" i="131"/>
  <c r="K1165" i="131"/>
  <c r="L1162" i="131"/>
  <c r="K1162" i="131"/>
  <c r="L1160" i="131"/>
  <c r="K1160" i="131"/>
  <c r="L1159" i="131"/>
  <c r="K1159" i="131"/>
  <c r="L1156" i="131"/>
  <c r="K1156" i="131"/>
  <c r="L1154" i="131"/>
  <c r="K1154" i="131"/>
  <c r="L1150" i="131"/>
  <c r="K1150" i="131"/>
  <c r="L1148" i="131"/>
  <c r="K1148" i="131"/>
  <c r="L1147" i="131"/>
  <c r="K1147" i="131"/>
  <c r="L1146" i="131"/>
  <c r="K1146" i="131"/>
  <c r="L1145" i="131"/>
  <c r="K1145" i="131"/>
  <c r="L1144" i="131"/>
  <c r="K1144" i="131"/>
  <c r="L1142" i="131"/>
  <c r="K1142" i="131"/>
  <c r="M1142" i="131" s="1"/>
  <c r="L1141" i="131"/>
  <c r="K1141" i="131"/>
  <c r="L1140" i="131"/>
  <c r="K1140" i="131"/>
  <c r="L1139" i="131"/>
  <c r="K1139" i="131"/>
  <c r="M1139" i="131" s="1"/>
  <c r="L1138" i="131"/>
  <c r="K1138" i="131"/>
  <c r="M1138" i="131" s="1"/>
  <c r="L1136" i="131"/>
  <c r="K1136" i="131"/>
  <c r="M1136" i="131" s="1"/>
  <c r="L1135" i="131"/>
  <c r="K1135" i="131"/>
  <c r="M1135" i="131" s="1"/>
  <c r="L1131" i="131"/>
  <c r="K1131" i="131"/>
  <c r="L1130" i="131"/>
  <c r="K1130" i="131"/>
  <c r="M1130" i="131" s="1"/>
  <c r="L1129" i="131"/>
  <c r="K1129" i="131"/>
  <c r="L1127" i="131"/>
  <c r="K1127" i="131"/>
  <c r="M1127" i="131" s="1"/>
  <c r="L1126" i="131"/>
  <c r="K1126" i="131"/>
  <c r="M1126" i="131" s="1"/>
  <c r="L1124" i="131"/>
  <c r="K1124" i="131"/>
  <c r="M1124" i="131" s="1"/>
  <c r="L1123" i="131"/>
  <c r="K1123" i="131"/>
  <c r="M1123" i="131" s="1"/>
  <c r="L1121" i="131"/>
  <c r="K1121" i="131"/>
  <c r="M1121" i="131" s="1"/>
  <c r="L1120" i="131"/>
  <c r="K1120" i="131"/>
  <c r="M1120" i="131" s="1"/>
  <c r="L1119" i="131"/>
  <c r="K1119" i="131"/>
  <c r="M1119" i="131" s="1"/>
  <c r="L1118" i="131"/>
  <c r="K1118" i="131"/>
  <c r="M1118" i="131" s="1"/>
  <c r="L1117" i="131"/>
  <c r="K1117" i="131"/>
  <c r="M1117" i="131" s="1"/>
  <c r="L1116" i="131"/>
  <c r="K1116" i="131"/>
  <c r="M1116" i="131" s="1"/>
  <c r="L1115" i="131"/>
  <c r="K1115" i="131"/>
  <c r="M1115" i="131" s="1"/>
  <c r="L1114" i="131"/>
  <c r="K1114" i="131"/>
  <c r="M1114" i="131" s="1"/>
  <c r="L1113" i="131"/>
  <c r="K1113" i="131"/>
  <c r="M1113" i="131" s="1"/>
  <c r="L1096" i="131"/>
  <c r="K1096" i="131"/>
  <c r="L1095" i="131"/>
  <c r="L1094" i="131"/>
  <c r="L1093" i="131"/>
  <c r="L1092" i="131"/>
  <c r="K1092" i="131"/>
  <c r="L1091" i="131"/>
  <c r="K1091" i="131"/>
  <c r="M1091" i="131" s="1"/>
  <c r="L1090" i="131"/>
  <c r="K1090" i="131"/>
  <c r="L1088" i="131"/>
  <c r="K1088" i="131"/>
  <c r="M1088" i="131" s="1"/>
  <c r="L1087" i="131"/>
  <c r="K1087" i="131"/>
  <c r="M1087" i="131" s="1"/>
  <c r="L1086" i="131"/>
  <c r="K1086" i="131"/>
  <c r="M1086" i="131" s="1"/>
  <c r="L1084" i="131"/>
  <c r="K1084" i="131"/>
  <c r="M1084" i="131" s="1"/>
  <c r="L1083" i="131"/>
  <c r="K1083" i="131"/>
  <c r="M1083" i="131" s="1"/>
  <c r="L1082" i="131"/>
  <c r="K1082" i="131"/>
  <c r="M1082" i="131" s="1"/>
  <c r="L1081" i="131"/>
  <c r="K1081" i="131"/>
  <c r="M1081" i="131" s="1"/>
  <c r="L1079" i="131"/>
  <c r="K1079" i="131"/>
  <c r="L1078" i="131"/>
  <c r="K1078" i="131"/>
  <c r="M1078" i="131" s="1"/>
  <c r="L1072" i="131"/>
  <c r="K1072" i="131"/>
  <c r="L1071" i="131"/>
  <c r="K1071" i="131"/>
  <c r="M1071" i="131" s="1"/>
  <c r="L1069" i="131"/>
  <c r="K1069" i="131"/>
  <c r="L1068" i="131"/>
  <c r="K1068" i="131"/>
  <c r="M1068" i="131" s="1"/>
  <c r="L1062" i="131"/>
  <c r="K1062" i="131"/>
  <c r="L1060" i="131"/>
  <c r="K1060" i="131"/>
  <c r="M1060" i="131" s="1"/>
  <c r="L1053" i="131"/>
  <c r="K1053" i="131"/>
  <c r="L1051" i="131"/>
  <c r="K1051" i="131"/>
  <c r="L1050" i="131"/>
  <c r="K1050" i="131"/>
  <c r="L1047" i="131"/>
  <c r="K1047" i="131"/>
  <c r="L1045" i="131"/>
  <c r="K1045" i="131"/>
  <c r="L1042" i="131"/>
  <c r="K1042" i="131"/>
  <c r="L1041" i="131"/>
  <c r="K1041" i="131"/>
  <c r="L1037" i="131"/>
  <c r="K1037" i="131"/>
  <c r="M1037" i="131" s="1"/>
  <c r="L1033" i="131"/>
  <c r="K1033" i="131"/>
  <c r="L1030" i="131"/>
  <c r="K1030" i="131"/>
  <c r="M1030" i="131" s="1"/>
  <c r="L1029" i="131"/>
  <c r="K1029" i="131"/>
  <c r="L1027" i="131"/>
  <c r="K1027" i="131"/>
  <c r="M1027" i="131" s="1"/>
  <c r="L1026" i="131"/>
  <c r="K1026" i="131"/>
  <c r="M1026" i="131" s="1"/>
  <c r="L1024" i="131"/>
  <c r="K1024" i="131"/>
  <c r="M1024" i="131" s="1"/>
  <c r="L1023" i="131"/>
  <c r="K1023" i="131"/>
  <c r="M1023" i="131" s="1"/>
  <c r="L1021" i="131"/>
  <c r="K1021" i="131"/>
  <c r="M1021" i="131" s="1"/>
  <c r="L1020" i="131"/>
  <c r="K1020" i="131"/>
  <c r="M1020" i="131" s="1"/>
  <c r="L1014" i="131"/>
  <c r="K1014" i="131"/>
  <c r="M1014" i="131" s="1"/>
  <c r="L1013" i="131"/>
  <c r="K1013" i="131"/>
  <c r="L1011" i="131"/>
  <c r="K1011" i="131"/>
  <c r="M1011" i="131" s="1"/>
  <c r="L1009" i="131"/>
  <c r="K1009" i="131"/>
  <c r="M1009" i="131" s="1"/>
  <c r="L1008" i="131"/>
  <c r="K1008" i="131"/>
  <c r="M1008" i="131" s="1"/>
  <c r="L1006" i="131"/>
  <c r="K1006" i="131"/>
  <c r="L1005" i="131"/>
  <c r="K1005" i="131"/>
  <c r="M1005" i="131" s="1"/>
  <c r="L1003" i="131"/>
  <c r="K1003" i="131"/>
  <c r="L1002" i="131"/>
  <c r="K1002" i="131"/>
  <c r="M1002" i="131" s="1"/>
  <c r="L1000" i="131"/>
  <c r="K1000" i="131"/>
  <c r="L999" i="131"/>
  <c r="K999" i="131"/>
  <c r="M999" i="131" s="1"/>
  <c r="L997" i="131"/>
  <c r="K997" i="131"/>
  <c r="L994" i="131"/>
  <c r="L993" i="131" s="1"/>
  <c r="K994" i="131"/>
  <c r="L992" i="131"/>
  <c r="K992" i="131"/>
  <c r="L989" i="131"/>
  <c r="K989" i="131"/>
  <c r="L987" i="131"/>
  <c r="K987" i="131"/>
  <c r="L986" i="131"/>
  <c r="K986" i="131"/>
  <c r="M986" i="131" s="1"/>
  <c r="L982" i="131"/>
  <c r="K982" i="131"/>
  <c r="M982" i="131" s="1"/>
  <c r="L981" i="131"/>
  <c r="K981" i="131"/>
  <c r="M981" i="131" s="1"/>
  <c r="L977" i="131"/>
  <c r="K977" i="131"/>
  <c r="L973" i="131"/>
  <c r="K973" i="131"/>
  <c r="M973" i="131" s="1"/>
  <c r="L970" i="131"/>
  <c r="K970" i="131"/>
  <c r="L968" i="131"/>
  <c r="K968" i="131"/>
  <c r="L967" i="131"/>
  <c r="K967" i="131"/>
  <c r="L963" i="131"/>
  <c r="K963" i="131"/>
  <c r="M963" i="131" s="1"/>
  <c r="L962" i="131"/>
  <c r="K962" i="131"/>
  <c r="M962" i="131" s="1"/>
  <c r="L958" i="131"/>
  <c r="K958" i="131"/>
  <c r="L957" i="131"/>
  <c r="K957" i="131"/>
  <c r="M957" i="131" s="1"/>
  <c r="L954" i="131"/>
  <c r="K954" i="131"/>
  <c r="L950" i="131"/>
  <c r="K950" i="131"/>
  <c r="L949" i="131"/>
  <c r="K949" i="131"/>
  <c r="M949" i="131" s="1"/>
  <c r="L947" i="131"/>
  <c r="K947" i="131"/>
  <c r="L945" i="131"/>
  <c r="K945" i="131"/>
  <c r="M945" i="131" s="1"/>
  <c r="L944" i="131"/>
  <c r="K944" i="131"/>
  <c r="L942" i="131"/>
  <c r="K942" i="131"/>
  <c r="M942" i="131" s="1"/>
  <c r="L941" i="131"/>
  <c r="K941" i="131"/>
  <c r="L939" i="131"/>
  <c r="K939" i="131"/>
  <c r="M939" i="131" s="1"/>
  <c r="L938" i="131"/>
  <c r="K938" i="131"/>
  <c r="M938" i="131" s="1"/>
  <c r="L936" i="131"/>
  <c r="K936" i="131"/>
  <c r="M936" i="131" s="1"/>
  <c r="L935" i="131"/>
  <c r="K935" i="131"/>
  <c r="M935" i="131" s="1"/>
  <c r="L933" i="131"/>
  <c r="K933" i="131"/>
  <c r="M933" i="131" s="1"/>
  <c r="L932" i="131"/>
  <c r="K932" i="131"/>
  <c r="L930" i="131"/>
  <c r="K930" i="131"/>
  <c r="M930" i="131" s="1"/>
  <c r="L929" i="131"/>
  <c r="K929" i="131"/>
  <c r="M929" i="131" s="1"/>
  <c r="L924" i="131"/>
  <c r="K924" i="131"/>
  <c r="M924" i="131" s="1"/>
  <c r="L923" i="131"/>
  <c r="K923" i="131"/>
  <c r="M923" i="131" s="1"/>
  <c r="L921" i="131"/>
  <c r="K921" i="131"/>
  <c r="M921" i="131" s="1"/>
  <c r="L920" i="131"/>
  <c r="K920" i="131"/>
  <c r="M920" i="131" s="1"/>
  <c r="L918" i="131"/>
  <c r="K918" i="131"/>
  <c r="M918" i="131" s="1"/>
  <c r="L917" i="131"/>
  <c r="K917" i="131"/>
  <c r="L915" i="131"/>
  <c r="K915" i="131"/>
  <c r="M915" i="131" s="1"/>
  <c r="L914" i="131"/>
  <c r="K914" i="131"/>
  <c r="M914" i="131" s="1"/>
  <c r="L912" i="131"/>
  <c r="K912" i="131"/>
  <c r="M912" i="131" s="1"/>
  <c r="L911" i="131"/>
  <c r="K911" i="131"/>
  <c r="M911" i="131" s="1"/>
  <c r="L909" i="131"/>
  <c r="K909" i="131"/>
  <c r="M909" i="131" s="1"/>
  <c r="L908" i="131"/>
  <c r="K908" i="131"/>
  <c r="L907" i="131"/>
  <c r="K907" i="131"/>
  <c r="L906" i="131"/>
  <c r="K906" i="131"/>
  <c r="L902" i="131"/>
  <c r="K902" i="131"/>
  <c r="M902" i="131" s="1"/>
  <c r="L901" i="131"/>
  <c r="K901" i="131"/>
  <c r="L896" i="131"/>
  <c r="K896" i="131"/>
  <c r="M896" i="131" s="1"/>
  <c r="L894" i="131"/>
  <c r="K894" i="131"/>
  <c r="L892" i="131"/>
  <c r="K892" i="131"/>
  <c r="M892" i="131" s="1"/>
  <c r="L890" i="131"/>
  <c r="K890" i="131"/>
  <c r="M890" i="131" s="1"/>
  <c r="L888" i="131"/>
  <c r="K888" i="131"/>
  <c r="M888" i="131" s="1"/>
  <c r="L883" i="131"/>
  <c r="K883" i="131"/>
  <c r="L881" i="131"/>
  <c r="K881" i="131"/>
  <c r="M881" i="131" s="1"/>
  <c r="L880" i="131"/>
  <c r="K880" i="131"/>
  <c r="L878" i="131"/>
  <c r="K878" i="131"/>
  <c r="M878" i="131" s="1"/>
  <c r="K877" i="131"/>
  <c r="M877" i="131" s="1"/>
  <c r="L876" i="131"/>
  <c r="K876" i="131"/>
  <c r="M876" i="131" s="1"/>
  <c r="L874" i="131"/>
  <c r="K874" i="131"/>
  <c r="M874" i="131" s="1"/>
  <c r="L872" i="131"/>
  <c r="K872" i="131"/>
  <c r="L870" i="131"/>
  <c r="K870" i="131"/>
  <c r="L869" i="131"/>
  <c r="K869" i="131"/>
  <c r="L865" i="131"/>
  <c r="K865" i="131"/>
  <c r="L862" i="131"/>
  <c r="K862" i="131"/>
  <c r="L860" i="131"/>
  <c r="K860" i="131"/>
  <c r="L859" i="131"/>
  <c r="K859" i="131"/>
  <c r="L851" i="131"/>
  <c r="K851" i="131"/>
  <c r="M851" i="131" s="1"/>
  <c r="L850" i="131"/>
  <c r="K850" i="131"/>
  <c r="M850" i="131" s="1"/>
  <c r="L843" i="131"/>
  <c r="K843" i="131"/>
  <c r="M843" i="131" s="1"/>
  <c r="L842" i="131"/>
  <c r="K842" i="131"/>
  <c r="M842" i="131" s="1"/>
  <c r="L840" i="131"/>
  <c r="K840" i="131"/>
  <c r="L838" i="131"/>
  <c r="K838" i="131"/>
  <c r="M838" i="131" s="1"/>
  <c r="L837" i="131"/>
  <c r="K837" i="131"/>
  <c r="L835" i="131"/>
  <c r="K835" i="131"/>
  <c r="L834" i="131"/>
  <c r="K834" i="131"/>
  <c r="L832" i="131"/>
  <c r="K832" i="131"/>
  <c r="L831" i="131"/>
  <c r="K831" i="131"/>
  <c r="L829" i="131"/>
  <c r="K829" i="131"/>
  <c r="M829" i="131" s="1"/>
  <c r="L828" i="131"/>
  <c r="K828" i="131"/>
  <c r="L823" i="131"/>
  <c r="K823" i="131"/>
  <c r="L822" i="131"/>
  <c r="K822" i="131"/>
  <c r="L820" i="131"/>
  <c r="K820" i="131"/>
  <c r="M820" i="131" s="1"/>
  <c r="L819" i="131"/>
  <c r="K819" i="131"/>
  <c r="L817" i="131"/>
  <c r="K817" i="131"/>
  <c r="L816" i="131"/>
  <c r="K816" i="131"/>
  <c r="M816" i="131" s="1"/>
  <c r="L815" i="131"/>
  <c r="K815" i="131"/>
  <c r="M815" i="131" s="1"/>
  <c r="L814" i="131"/>
  <c r="K814" i="131"/>
  <c r="M814" i="131" s="1"/>
  <c r="L809" i="131"/>
  <c r="K809" i="131"/>
  <c r="L802" i="131"/>
  <c r="K802" i="131"/>
  <c r="M802" i="131" s="1"/>
  <c r="L800" i="131"/>
  <c r="K800" i="131"/>
  <c r="M800" i="131" s="1"/>
  <c r="L798" i="131"/>
  <c r="K798" i="131"/>
  <c r="L796" i="131"/>
  <c r="K796" i="131"/>
  <c r="M796" i="131" s="1"/>
  <c r="L793" i="131"/>
  <c r="K793" i="131"/>
  <c r="L790" i="131"/>
  <c r="K790" i="131"/>
  <c r="M790" i="131" s="1"/>
  <c r="L786" i="131"/>
  <c r="K786" i="131"/>
  <c r="L784" i="131"/>
  <c r="K784" i="131"/>
  <c r="M784" i="131" s="1"/>
  <c r="L782" i="131"/>
  <c r="K782" i="131"/>
  <c r="L779" i="131"/>
  <c r="K779" i="131"/>
  <c r="L775" i="131"/>
  <c r="K775" i="131"/>
  <c r="L773" i="131"/>
  <c r="K773" i="131"/>
  <c r="M773" i="131" s="1"/>
  <c r="L771" i="131"/>
  <c r="K771" i="131"/>
  <c r="M771" i="131" s="1"/>
  <c r="L767" i="131"/>
  <c r="K767" i="131"/>
  <c r="M767" i="131" s="1"/>
  <c r="L764" i="131"/>
  <c r="L761" i="131"/>
  <c r="K761" i="131"/>
  <c r="L757" i="131"/>
  <c r="K757" i="131"/>
  <c r="M757" i="131" s="1"/>
  <c r="L753" i="131"/>
  <c r="K753" i="131"/>
  <c r="M753" i="131" s="1"/>
  <c r="L751" i="131"/>
  <c r="K751" i="131"/>
  <c r="M751" i="131" s="1"/>
  <c r="L744" i="131"/>
  <c r="K744" i="131"/>
  <c r="L743" i="131"/>
  <c r="K743" i="131"/>
  <c r="M743" i="131" s="1"/>
  <c r="L742" i="131"/>
  <c r="K742" i="131"/>
  <c r="L737" i="131"/>
  <c r="K737" i="131"/>
  <c r="M737" i="131" s="1"/>
  <c r="L735" i="131"/>
  <c r="K735" i="131"/>
  <c r="L733" i="131"/>
  <c r="K733" i="131"/>
  <c r="M733" i="131" s="1"/>
  <c r="L731" i="131"/>
  <c r="K731" i="131"/>
  <c r="M731" i="131" s="1"/>
  <c r="L729" i="131"/>
  <c r="K729" i="131"/>
  <c r="M729" i="131" s="1"/>
  <c r="L727" i="131"/>
  <c r="K727" i="131"/>
  <c r="M727" i="131" s="1"/>
  <c r="L724" i="131"/>
  <c r="L723" i="131" s="1"/>
  <c r="K724" i="131"/>
  <c r="K723" i="131" s="1"/>
  <c r="L722" i="131"/>
  <c r="K722" i="131"/>
  <c r="L719" i="131"/>
  <c r="K719" i="131"/>
  <c r="M719" i="131" s="1"/>
  <c r="L713" i="131"/>
  <c r="K713" i="131"/>
  <c r="L712" i="131"/>
  <c r="K712" i="131"/>
  <c r="L710" i="131"/>
  <c r="K710" i="131"/>
  <c r="L709" i="131"/>
  <c r="K709" i="131"/>
  <c r="M709" i="131" s="1"/>
  <c r="L708" i="131"/>
  <c r="K708" i="131"/>
  <c r="L707" i="131"/>
  <c r="K707" i="131"/>
  <c r="M707" i="131" s="1"/>
  <c r="L705" i="131"/>
  <c r="K705" i="131"/>
  <c r="M705" i="131" s="1"/>
  <c r="L704" i="131"/>
  <c r="K704" i="131"/>
  <c r="M704" i="131" s="1"/>
  <c r="L702" i="131"/>
  <c r="K702" i="131"/>
  <c r="M702" i="131" s="1"/>
  <c r="L701" i="131"/>
  <c r="K701" i="131"/>
  <c r="M701" i="131" s="1"/>
  <c r="L700" i="131"/>
  <c r="K700" i="131"/>
  <c r="M700" i="131" s="1"/>
  <c r="L699" i="131"/>
  <c r="K699" i="131"/>
  <c r="M699" i="131" s="1"/>
  <c r="L698" i="131"/>
  <c r="K698" i="131"/>
  <c r="M698" i="131" s="1"/>
  <c r="L694" i="131"/>
  <c r="K694" i="131"/>
  <c r="L688" i="131"/>
  <c r="K688" i="131"/>
  <c r="M688" i="131" s="1"/>
  <c r="L686" i="131"/>
  <c r="K686" i="131"/>
  <c r="L684" i="131"/>
  <c r="L682" i="131" s="1"/>
  <c r="K684" i="131"/>
  <c r="L676" i="131"/>
  <c r="K676" i="131"/>
  <c r="L675" i="131"/>
  <c r="K675" i="131"/>
  <c r="M675" i="131" s="1"/>
  <c r="L671" i="131"/>
  <c r="K671" i="131"/>
  <c r="M671" i="131" s="1"/>
  <c r="L667" i="131"/>
  <c r="K667" i="131"/>
  <c r="L664" i="131"/>
  <c r="K664" i="131"/>
  <c r="L662" i="131"/>
  <c r="K662" i="131"/>
  <c r="L660" i="131"/>
  <c r="K660" i="131"/>
  <c r="L657" i="131"/>
  <c r="K657" i="131"/>
  <c r="L654" i="131"/>
  <c r="K654" i="131"/>
  <c r="L648" i="131"/>
  <c r="K648" i="131"/>
  <c r="L644" i="131"/>
  <c r="K644" i="131"/>
  <c r="M644" i="131" s="1"/>
  <c r="L641" i="131"/>
  <c r="K641" i="131"/>
  <c r="M641" i="131" s="1"/>
  <c r="L638" i="131"/>
  <c r="K638" i="131"/>
  <c r="M638" i="131" s="1"/>
  <c r="L635" i="131"/>
  <c r="K635" i="131"/>
  <c r="M635" i="131" s="1"/>
  <c r="L633" i="131"/>
  <c r="K633" i="131"/>
  <c r="M633" i="131" s="1"/>
  <c r="L630" i="131"/>
  <c r="K630" i="131"/>
  <c r="L629" i="131"/>
  <c r="K629" i="131"/>
  <c r="L627" i="131"/>
  <c r="K627" i="131"/>
  <c r="M627" i="131" s="1"/>
  <c r="L623" i="131"/>
  <c r="K623" i="131"/>
  <c r="L94" i="114" s="1"/>
  <c r="L93" i="114" s="1"/>
  <c r="L618" i="131"/>
  <c r="K618" i="131"/>
  <c r="L617" i="131"/>
  <c r="K617" i="131"/>
  <c r="L615" i="131"/>
  <c r="K615" i="131"/>
  <c r="L614" i="131"/>
  <c r="K614" i="131"/>
  <c r="L610" i="131"/>
  <c r="K610" i="131"/>
  <c r="M610" i="131" s="1"/>
  <c r="L606" i="131"/>
  <c r="K606" i="131"/>
  <c r="L604" i="131"/>
  <c r="K604" i="131"/>
  <c r="M604" i="131" s="1"/>
  <c r="L602" i="131"/>
  <c r="K602" i="131"/>
  <c r="M602" i="131" s="1"/>
  <c r="L601" i="131"/>
  <c r="K601" i="131"/>
  <c r="L599" i="131"/>
  <c r="K599" i="131"/>
  <c r="M599" i="131" s="1"/>
  <c r="L597" i="131"/>
  <c r="K597" i="131"/>
  <c r="L595" i="131"/>
  <c r="L593" i="131"/>
  <c r="K593" i="131"/>
  <c r="L592" i="131"/>
  <c r="K592" i="131"/>
  <c r="M592" i="131" s="1"/>
  <c r="L589" i="131"/>
  <c r="K589" i="131"/>
  <c r="M589" i="131" s="1"/>
  <c r="L587" i="131"/>
  <c r="K587" i="131"/>
  <c r="M587" i="131" s="1"/>
  <c r="L585" i="131"/>
  <c r="K585" i="131"/>
  <c r="M585" i="131" s="1"/>
  <c r="L583" i="131"/>
  <c r="K583" i="131"/>
  <c r="M583" i="131" s="1"/>
  <c r="L581" i="131"/>
  <c r="K581" i="131"/>
  <c r="L579" i="131"/>
  <c r="K579" i="131"/>
  <c r="M579" i="131" s="1"/>
  <c r="L577" i="131"/>
  <c r="K577" i="131"/>
  <c r="M577" i="131" s="1"/>
  <c r="L575" i="131"/>
  <c r="K575" i="131"/>
  <c r="M575" i="131" s="1"/>
  <c r="L573" i="131"/>
  <c r="K573" i="131"/>
  <c r="L571" i="131"/>
  <c r="K571" i="131"/>
  <c r="M571" i="131" s="1"/>
  <c r="L564" i="131"/>
  <c r="K564" i="131"/>
  <c r="M564" i="131" s="1"/>
  <c r="L561" i="131"/>
  <c r="K561" i="131"/>
  <c r="L558" i="131"/>
  <c r="K558" i="131"/>
  <c r="L554" i="131"/>
  <c r="K554" i="131"/>
  <c r="M554" i="131" s="1"/>
  <c r="L550" i="131"/>
  <c r="K550" i="131"/>
  <c r="M550" i="131" s="1"/>
  <c r="L548" i="131"/>
  <c r="K548" i="131"/>
  <c r="M548" i="131" s="1"/>
  <c r="L546" i="131"/>
  <c r="K546" i="131"/>
  <c r="M546" i="131" s="1"/>
  <c r="L544" i="131"/>
  <c r="K544" i="131"/>
  <c r="M544" i="131" s="1"/>
  <c r="L542" i="131"/>
  <c r="K542" i="131"/>
  <c r="L540" i="131"/>
  <c r="K540" i="131"/>
  <c r="M540" i="131" s="1"/>
  <c r="L533" i="131"/>
  <c r="K533" i="131"/>
  <c r="L532" i="131"/>
  <c r="K532" i="131"/>
  <c r="M532" i="131" s="1"/>
  <c r="L531" i="131"/>
  <c r="K531" i="131"/>
  <c r="M531" i="131" s="1"/>
  <c r="L530" i="131"/>
  <c r="K530" i="131"/>
  <c r="M530" i="131" s="1"/>
  <c r="L525" i="131"/>
  <c r="K525" i="131"/>
  <c r="M525" i="131" s="1"/>
  <c r="L523" i="131"/>
  <c r="K523" i="131"/>
  <c r="M523" i="131" s="1"/>
  <c r="L521" i="131"/>
  <c r="K521" i="131"/>
  <c r="L519" i="131"/>
  <c r="K519" i="131"/>
  <c r="M519" i="131" s="1"/>
  <c r="L516" i="131"/>
  <c r="K516" i="131"/>
  <c r="L513" i="131"/>
  <c r="K513" i="131"/>
  <c r="M513" i="131" s="1"/>
  <c r="L510" i="131"/>
  <c r="K510" i="131"/>
  <c r="M510" i="131" s="1"/>
  <c r="L507" i="131"/>
  <c r="K507" i="131"/>
  <c r="L504" i="131"/>
  <c r="K504" i="131"/>
  <c r="L500" i="131"/>
  <c r="K500" i="131"/>
  <c r="M500" i="131" s="1"/>
  <c r="L495" i="131"/>
  <c r="K495" i="131"/>
  <c r="M495" i="131" s="1"/>
  <c r="L493" i="131"/>
  <c r="K493" i="131"/>
  <c r="M493" i="131" s="1"/>
  <c r="L487" i="131"/>
  <c r="K487" i="131"/>
  <c r="L483" i="131"/>
  <c r="K483" i="131"/>
  <c r="M483" i="131" s="1"/>
  <c r="L481" i="131"/>
  <c r="K481" i="131"/>
  <c r="L479" i="131"/>
  <c r="K479" i="131"/>
  <c r="M479" i="131" s="1"/>
  <c r="L474" i="131"/>
  <c r="K474" i="131"/>
  <c r="M474" i="131" s="1"/>
  <c r="L468" i="131"/>
  <c r="K468" i="131"/>
  <c r="M468" i="131" s="1"/>
  <c r="L465" i="131"/>
  <c r="K465" i="131"/>
  <c r="M465" i="131" s="1"/>
  <c r="L462" i="131"/>
  <c r="K462" i="131"/>
  <c r="M462" i="131" s="1"/>
  <c r="L460" i="131"/>
  <c r="K460" i="131"/>
  <c r="M460" i="131" s="1"/>
  <c r="L457" i="131"/>
  <c r="K457" i="131"/>
  <c r="M457" i="131" s="1"/>
  <c r="L454" i="131"/>
  <c r="K454" i="131"/>
  <c r="L451" i="131"/>
  <c r="K451" i="131"/>
  <c r="M451" i="131" s="1"/>
  <c r="L447" i="131"/>
  <c r="K447" i="131"/>
  <c r="L446" i="131"/>
  <c r="K446" i="131"/>
  <c r="L439" i="131"/>
  <c r="K439" i="131"/>
  <c r="L437" i="131"/>
  <c r="K437" i="131"/>
  <c r="L434" i="131"/>
  <c r="K434" i="131"/>
  <c r="M434" i="131" s="1"/>
  <c r="L431" i="131"/>
  <c r="K431" i="131"/>
  <c r="L429" i="131"/>
  <c r="K429" i="131"/>
  <c r="M429" i="131" s="1"/>
  <c r="L423" i="131"/>
  <c r="K423" i="131"/>
  <c r="L420" i="131"/>
  <c r="K420" i="131"/>
  <c r="L416" i="131"/>
  <c r="K416" i="131"/>
  <c r="M416" i="131" s="1"/>
  <c r="L415" i="131"/>
  <c r="K415" i="131"/>
  <c r="M415" i="131" s="1"/>
  <c r="L412" i="131"/>
  <c r="K412" i="131"/>
  <c r="L409" i="131"/>
  <c r="K409" i="131"/>
  <c r="L406" i="131"/>
  <c r="K406" i="131"/>
  <c r="M406" i="131" s="1"/>
  <c r="L404" i="131"/>
  <c r="K404" i="131"/>
  <c r="M404" i="131" s="1"/>
  <c r="L401" i="131"/>
  <c r="K401" i="131"/>
  <c r="L398" i="131"/>
  <c r="K398" i="131"/>
  <c r="M398" i="131" s="1"/>
  <c r="L394" i="131"/>
  <c r="K394" i="131"/>
  <c r="M394" i="131" s="1"/>
  <c r="L391" i="131"/>
  <c r="K391" i="131"/>
  <c r="M391" i="131" s="1"/>
  <c r="L388" i="131"/>
  <c r="K388" i="131"/>
  <c r="M388" i="131" s="1"/>
  <c r="L385" i="131"/>
  <c r="K385" i="131"/>
  <c r="M385" i="131" s="1"/>
  <c r="L380" i="131"/>
  <c r="K380" i="131"/>
  <c r="L378" i="131"/>
  <c r="K378" i="131"/>
  <c r="L375" i="131"/>
  <c r="K375" i="131"/>
  <c r="L373" i="131"/>
  <c r="K373" i="131"/>
  <c r="M373" i="131" s="1"/>
  <c r="L369" i="131"/>
  <c r="K369" i="131"/>
  <c r="L368" i="131"/>
  <c r="K368" i="131"/>
  <c r="M368" i="131" s="1"/>
  <c r="L356" i="131"/>
  <c r="K356" i="131"/>
  <c r="M356" i="131" s="1"/>
  <c r="L355" i="131"/>
  <c r="K355" i="131"/>
  <c r="L354" i="131"/>
  <c r="K354" i="131"/>
  <c r="L352" i="131"/>
  <c r="K352" i="131"/>
  <c r="L350" i="131"/>
  <c r="K350" i="131"/>
  <c r="L349" i="131"/>
  <c r="K349" i="131"/>
  <c r="M349" i="131" s="1"/>
  <c r="L348" i="131"/>
  <c r="K348" i="131"/>
  <c r="L347" i="131"/>
  <c r="K347" i="131"/>
  <c r="M347" i="131" s="1"/>
  <c r="L346" i="131"/>
  <c r="K346" i="131"/>
  <c r="M346" i="131" s="1"/>
  <c r="L345" i="131"/>
  <c r="K345" i="131"/>
  <c r="M345" i="131" s="1"/>
  <c r="L344" i="131"/>
  <c r="K344" i="131"/>
  <c r="M344" i="131" s="1"/>
  <c r="L343" i="131"/>
  <c r="K343" i="131"/>
  <c r="M343" i="131" s="1"/>
  <c r="L341" i="131"/>
  <c r="K341" i="131"/>
  <c r="M341" i="131" s="1"/>
  <c r="L339" i="131"/>
  <c r="K339" i="131"/>
  <c r="L338" i="131"/>
  <c r="K338" i="131"/>
  <c r="M338" i="131" s="1"/>
  <c r="L337" i="131"/>
  <c r="K337" i="131"/>
  <c r="M337" i="131" s="1"/>
  <c r="L336" i="131"/>
  <c r="K336" i="131"/>
  <c r="M336" i="131" s="1"/>
  <c r="L331" i="131"/>
  <c r="K331" i="131"/>
  <c r="M331" i="131" s="1"/>
  <c r="L328" i="131"/>
  <c r="K328" i="131"/>
  <c r="L321" i="131"/>
  <c r="K321" i="131"/>
  <c r="L317" i="131"/>
  <c r="K317" i="131"/>
  <c r="L314" i="131"/>
  <c r="K314" i="131"/>
  <c r="M314" i="131" s="1"/>
  <c r="L311" i="131"/>
  <c r="K311" i="131"/>
  <c r="L310" i="131"/>
  <c r="K310" i="131"/>
  <c r="L309" i="131"/>
  <c r="K309" i="131"/>
  <c r="L307" i="131"/>
  <c r="K307" i="131"/>
  <c r="L306" i="131"/>
  <c r="K306" i="131"/>
  <c r="L304" i="131"/>
  <c r="K304" i="131"/>
  <c r="M304" i="131" s="1"/>
  <c r="L303" i="131"/>
  <c r="K303" i="131"/>
  <c r="M303" i="131" s="1"/>
  <c r="L302" i="131"/>
  <c r="K302" i="131"/>
  <c r="M302" i="131" s="1"/>
  <c r="L301" i="131"/>
  <c r="K301" i="131"/>
  <c r="M301" i="131" s="1"/>
  <c r="L300" i="131"/>
  <c r="K300" i="131"/>
  <c r="M300" i="131" s="1"/>
  <c r="L299" i="131"/>
  <c r="K299" i="131"/>
  <c r="M299" i="131" s="1"/>
  <c r="L298" i="131"/>
  <c r="K298" i="131"/>
  <c r="M298" i="131" s="1"/>
  <c r="L297" i="131"/>
  <c r="K297" i="131"/>
  <c r="M297" i="131" s="1"/>
  <c r="L296" i="131"/>
  <c r="K296" i="131"/>
  <c r="M296" i="131" s="1"/>
  <c r="L294" i="131"/>
  <c r="K294" i="131"/>
  <c r="L293" i="131"/>
  <c r="K293" i="131"/>
  <c r="L282" i="131"/>
  <c r="K282" i="131"/>
  <c r="M282" i="131" s="1"/>
  <c r="L277" i="131"/>
  <c r="K277" i="131"/>
  <c r="M277" i="131" s="1"/>
  <c r="L276" i="131"/>
  <c r="K276" i="131"/>
  <c r="L275" i="131"/>
  <c r="K275" i="131"/>
  <c r="M275" i="131" s="1"/>
  <c r="L274" i="131"/>
  <c r="K274" i="131"/>
  <c r="L272" i="131"/>
  <c r="K272" i="131"/>
  <c r="M272" i="131" s="1"/>
  <c r="L271" i="131"/>
  <c r="K271" i="131"/>
  <c r="L270" i="131"/>
  <c r="K270" i="131"/>
  <c r="L268" i="131"/>
  <c r="K268" i="131"/>
  <c r="M268" i="131" s="1"/>
  <c r="L266" i="131"/>
  <c r="K266" i="131"/>
  <c r="M266" i="131" s="1"/>
  <c r="L264" i="131"/>
  <c r="K264" i="131"/>
  <c r="M264" i="131" s="1"/>
  <c r="L261" i="131"/>
  <c r="K261" i="131"/>
  <c r="M261" i="131" s="1"/>
  <c r="L259" i="131"/>
  <c r="K259" i="131"/>
  <c r="M259" i="131" s="1"/>
  <c r="L258" i="131"/>
  <c r="K258" i="131"/>
  <c r="M258" i="131" s="1"/>
  <c r="L256" i="131"/>
  <c r="K256" i="131"/>
  <c r="M256" i="131" s="1"/>
  <c r="L255" i="131"/>
  <c r="K255" i="131"/>
  <c r="L253" i="131"/>
  <c r="K253" i="131"/>
  <c r="M253" i="131" s="1"/>
  <c r="L252" i="131"/>
  <c r="K252" i="131"/>
  <c r="M252" i="131" s="1"/>
  <c r="L250" i="131"/>
  <c r="K250" i="131"/>
  <c r="L249" i="131"/>
  <c r="K249" i="131"/>
  <c r="L248" i="131"/>
  <c r="K248" i="131"/>
  <c r="M248" i="131" s="1"/>
  <c r="L247" i="131"/>
  <c r="K247" i="131"/>
  <c r="M247" i="131" s="1"/>
  <c r="L246" i="131"/>
  <c r="K246" i="131"/>
  <c r="M246" i="131" s="1"/>
  <c r="L245" i="131"/>
  <c r="K245" i="131"/>
  <c r="M245" i="131" s="1"/>
  <c r="L244" i="131"/>
  <c r="K244" i="131"/>
  <c r="M244" i="131" s="1"/>
  <c r="L243" i="131"/>
  <c r="K243" i="131"/>
  <c r="M243" i="131" s="1"/>
  <c r="L242" i="131"/>
  <c r="K242" i="131"/>
  <c r="M242" i="131" s="1"/>
  <c r="L237" i="131"/>
  <c r="L233" i="131"/>
  <c r="K233" i="131"/>
  <c r="M233" i="131" s="1"/>
  <c r="L230" i="131"/>
  <c r="K230" i="131"/>
  <c r="M230" i="131" s="1"/>
  <c r="L223" i="131"/>
  <c r="K223" i="131"/>
  <c r="M223" i="131" s="1"/>
  <c r="L221" i="131"/>
  <c r="K221" i="131"/>
  <c r="L218" i="131"/>
  <c r="K218" i="131"/>
  <c r="M218" i="131" s="1"/>
  <c r="L215" i="131"/>
  <c r="K215" i="131"/>
  <c r="M215" i="131" s="1"/>
  <c r="L209" i="131"/>
  <c r="K209" i="131"/>
  <c r="M209" i="131" s="1"/>
  <c r="L204" i="131"/>
  <c r="K204" i="131"/>
  <c r="L200" i="131"/>
  <c r="L199" i="131"/>
  <c r="L198" i="131"/>
  <c r="K198" i="131"/>
  <c r="M198" i="131" s="1"/>
  <c r="L195" i="131"/>
  <c r="K195" i="131"/>
  <c r="M195" i="131" s="1"/>
  <c r="L192" i="131"/>
  <c r="K192" i="131"/>
  <c r="M192" i="131" s="1"/>
  <c r="L188" i="131"/>
  <c r="K188" i="131"/>
  <c r="L184" i="131"/>
  <c r="K184" i="131"/>
  <c r="M184" i="131" s="1"/>
  <c r="L179" i="131"/>
  <c r="K179" i="131"/>
  <c r="M179" i="131" s="1"/>
  <c r="L169" i="131"/>
  <c r="K169" i="131"/>
  <c r="L168" i="131"/>
  <c r="K168" i="131"/>
  <c r="L166" i="131"/>
  <c r="K166" i="131"/>
  <c r="M166" i="131" s="1"/>
  <c r="L165" i="131"/>
  <c r="K165" i="131"/>
  <c r="M165" i="131" s="1"/>
  <c r="L163" i="131"/>
  <c r="K163" i="131"/>
  <c r="L161" i="131"/>
  <c r="K161" i="131"/>
  <c r="L160" i="131"/>
  <c r="K160" i="131"/>
  <c r="M160" i="131" s="1"/>
  <c r="L159" i="131"/>
  <c r="K159" i="131"/>
  <c r="L158" i="131"/>
  <c r="K158" i="131"/>
  <c r="L157" i="131"/>
  <c r="K157" i="131"/>
  <c r="M157" i="131" s="1"/>
  <c r="L156" i="131"/>
  <c r="K156" i="131"/>
  <c r="M156" i="131" s="1"/>
  <c r="L154" i="131"/>
  <c r="K154" i="131"/>
  <c r="M154" i="131" s="1"/>
  <c r="L153" i="131"/>
  <c r="K153" i="131"/>
  <c r="M153" i="131" s="1"/>
  <c r="L151" i="131"/>
  <c r="K151" i="131"/>
  <c r="M151" i="131" s="1"/>
  <c r="L149" i="131"/>
  <c r="K149" i="131"/>
  <c r="L148" i="131"/>
  <c r="K148" i="131"/>
  <c r="L146" i="131"/>
  <c r="K146" i="131"/>
  <c r="L144" i="131"/>
  <c r="K144" i="131"/>
  <c r="M144" i="131" s="1"/>
  <c r="L143" i="131"/>
  <c r="K143" i="131"/>
  <c r="M143" i="131" s="1"/>
  <c r="L141" i="131"/>
  <c r="K141" i="131"/>
  <c r="M141" i="131" s="1"/>
  <c r="L139" i="131"/>
  <c r="K139" i="131"/>
  <c r="L138" i="131"/>
  <c r="K138" i="131"/>
  <c r="L136" i="131"/>
  <c r="K136" i="131"/>
  <c r="M136" i="131" s="1"/>
  <c r="L135" i="131"/>
  <c r="K135" i="131"/>
  <c r="M135" i="131" s="1"/>
  <c r="L134" i="131"/>
  <c r="K134" i="131"/>
  <c r="L125" i="131"/>
  <c r="K125" i="131"/>
  <c r="M125" i="131" s="1"/>
  <c r="L122" i="131"/>
  <c r="K122" i="131"/>
  <c r="L121" i="131"/>
  <c r="K121" i="131"/>
  <c r="M121" i="131" s="1"/>
  <c r="L118" i="131"/>
  <c r="K118" i="131"/>
  <c r="M118" i="131" s="1"/>
  <c r="L115" i="131"/>
  <c r="K115" i="131"/>
  <c r="M115" i="131" s="1"/>
  <c r="L111" i="131"/>
  <c r="K111" i="131"/>
  <c r="M111" i="131" s="1"/>
  <c r="L107" i="131"/>
  <c r="K107" i="131"/>
  <c r="M107" i="131" s="1"/>
  <c r="L106" i="131"/>
  <c r="L105" i="131"/>
  <c r="L104" i="131"/>
  <c r="L103" i="131"/>
  <c r="K103" i="131"/>
  <c r="L99" i="131"/>
  <c r="K99" i="131"/>
  <c r="L96" i="131"/>
  <c r="K96" i="131"/>
  <c r="L92" i="131"/>
  <c r="L91" i="131" s="1"/>
  <c r="K92" i="131"/>
  <c r="K91" i="131" s="1"/>
  <c r="L89" i="131"/>
  <c r="K89" i="131"/>
  <c r="L86" i="131"/>
  <c r="K86" i="131"/>
  <c r="M86" i="131" s="1"/>
  <c r="L85" i="131"/>
  <c r="K85" i="131"/>
  <c r="M85" i="131" s="1"/>
  <c r="K81" i="131"/>
  <c r="J2364" i="131"/>
  <c r="I2364" i="131"/>
  <c r="I2363" i="131" s="1"/>
  <c r="I2362" i="131" s="1"/>
  <c r="I2361" i="131" s="1"/>
  <c r="I2360" i="131" s="1"/>
  <c r="J2356" i="131"/>
  <c r="I2356" i="131"/>
  <c r="J2353" i="131"/>
  <c r="I2353" i="131"/>
  <c r="J2346" i="131"/>
  <c r="I2346" i="131"/>
  <c r="J2337" i="131"/>
  <c r="J2336" i="131" s="1"/>
  <c r="K121" i="114" s="1"/>
  <c r="K120" i="114" s="1"/>
  <c r="I2337" i="131"/>
  <c r="I2336" i="131" s="1"/>
  <c r="J2334" i="131"/>
  <c r="I2334" i="131"/>
  <c r="J2332" i="131"/>
  <c r="I2332" i="131"/>
  <c r="J2330" i="131"/>
  <c r="I2330" i="131"/>
  <c r="J2328" i="131"/>
  <c r="I2328" i="131"/>
  <c r="J2322" i="131"/>
  <c r="I2322" i="131"/>
  <c r="J2320" i="131"/>
  <c r="I2320" i="131"/>
  <c r="J2317" i="131"/>
  <c r="J2316" i="131" s="1"/>
  <c r="I2317" i="131"/>
  <c r="J2314" i="131"/>
  <c r="I2314" i="131"/>
  <c r="I2313" i="131" s="1"/>
  <c r="J2310" i="131"/>
  <c r="I2310" i="131"/>
  <c r="I2309" i="131"/>
  <c r="I2308" i="131" s="1"/>
  <c r="J2308" i="131"/>
  <c r="J2305" i="131"/>
  <c r="K124" i="114" s="1"/>
  <c r="K123" i="114" s="1"/>
  <c r="K122" i="114" s="1"/>
  <c r="I2305" i="131"/>
  <c r="J2304" i="131"/>
  <c r="J2301" i="131"/>
  <c r="J2300" i="131" s="1"/>
  <c r="I2301" i="131"/>
  <c r="I2300" i="131" s="1"/>
  <c r="J117" i="114" s="1"/>
  <c r="J116" i="114" s="1"/>
  <c r="J2298" i="131"/>
  <c r="I2298" i="131"/>
  <c r="J2293" i="131"/>
  <c r="J2286" i="131"/>
  <c r="J2285" i="131" s="1"/>
  <c r="I2286" i="131"/>
  <c r="I2285" i="131" s="1"/>
  <c r="J2280" i="131"/>
  <c r="J2279" i="131" s="1"/>
  <c r="I2280" i="131"/>
  <c r="J2277" i="131"/>
  <c r="I2277" i="131"/>
  <c r="J2275" i="131"/>
  <c r="I2275" i="131"/>
  <c r="J2273" i="131"/>
  <c r="I2273" i="131"/>
  <c r="J2271" i="131"/>
  <c r="I2271" i="131"/>
  <c r="J2269" i="131"/>
  <c r="I2269" i="131"/>
  <c r="J2259" i="131"/>
  <c r="I2259" i="131"/>
  <c r="J2253" i="131"/>
  <c r="J2252" i="131" s="1"/>
  <c r="K297" i="114" s="1"/>
  <c r="I2253" i="131"/>
  <c r="J2250" i="131"/>
  <c r="J2249" i="131" s="1"/>
  <c r="I2250" i="131"/>
  <c r="J2246" i="131"/>
  <c r="I2246" i="131"/>
  <c r="I2243" i="131"/>
  <c r="I2241" i="131" s="1"/>
  <c r="I2240" i="131" s="1"/>
  <c r="J138" i="114" s="1"/>
  <c r="J137" i="114" s="1"/>
  <c r="J2241" i="131"/>
  <c r="J2240" i="131" s="1"/>
  <c r="K138" i="114" s="1"/>
  <c r="K137" i="114" s="1"/>
  <c r="J2238" i="131"/>
  <c r="I2238" i="131"/>
  <c r="I2237" i="131" s="1"/>
  <c r="J2235" i="131"/>
  <c r="J2234" i="131" s="1"/>
  <c r="I2235" i="131"/>
  <c r="I2234" i="131" s="1"/>
  <c r="J134" i="114" s="1"/>
  <c r="J133" i="114" s="1"/>
  <c r="J2232" i="131"/>
  <c r="I2232" i="131"/>
  <c r="J2229" i="131"/>
  <c r="I2229" i="131"/>
  <c r="I2228" i="131" s="1"/>
  <c r="J130" i="114" s="1"/>
  <c r="J129" i="114" s="1"/>
  <c r="J2221" i="131"/>
  <c r="I2221" i="131"/>
  <c r="J2214" i="131"/>
  <c r="I2214" i="131"/>
  <c r="J2208" i="131"/>
  <c r="I2208" i="131"/>
  <c r="J2206" i="131"/>
  <c r="I2206" i="131"/>
  <c r="J2204" i="131"/>
  <c r="I2204" i="131"/>
  <c r="J2202" i="131"/>
  <c r="I2202" i="131"/>
  <c r="J2200" i="131"/>
  <c r="I2200" i="131"/>
  <c r="J2198" i="131"/>
  <c r="I2198" i="131"/>
  <c r="J2196" i="131"/>
  <c r="I2196" i="131"/>
  <c r="J2193" i="131"/>
  <c r="J2192" i="131" s="1"/>
  <c r="J2191" i="131" s="1"/>
  <c r="J2190" i="131" s="1"/>
  <c r="I2193" i="131"/>
  <c r="I2192" i="131" s="1"/>
  <c r="J2188" i="131"/>
  <c r="I2188" i="131"/>
  <c r="I2187" i="131" s="1"/>
  <c r="J2185" i="131"/>
  <c r="I2185" i="131"/>
  <c r="I2184" i="131" s="1"/>
  <c r="J2182" i="131"/>
  <c r="J2181" i="131" s="1"/>
  <c r="I2182" i="131"/>
  <c r="J2178" i="131"/>
  <c r="J2177" i="131" s="1"/>
  <c r="I2178" i="131"/>
  <c r="J2171" i="131"/>
  <c r="I2171" i="131"/>
  <c r="I2170" i="131" s="1"/>
  <c r="I2169" i="131" s="1"/>
  <c r="I2168" i="131" s="1"/>
  <c r="J2166" i="131"/>
  <c r="I2166" i="131"/>
  <c r="J2164" i="131"/>
  <c r="I2164" i="131"/>
  <c r="J2155" i="131"/>
  <c r="I2155" i="131"/>
  <c r="J2152" i="131"/>
  <c r="J2151" i="131" s="1"/>
  <c r="I2152" i="131"/>
  <c r="J2149" i="131"/>
  <c r="J2148" i="131" s="1"/>
  <c r="I2149" i="131"/>
  <c r="I2148" i="131" s="1"/>
  <c r="J205" i="114" s="1"/>
  <c r="J204" i="114" s="1"/>
  <c r="J2143" i="131"/>
  <c r="J2142" i="131" s="1"/>
  <c r="K201" i="114" s="1"/>
  <c r="K200" i="114" s="1"/>
  <c r="I2143" i="131"/>
  <c r="J2140" i="131"/>
  <c r="I2140" i="131"/>
  <c r="J199" i="114" s="1"/>
  <c r="J198" i="114" s="1"/>
  <c r="J2134" i="131"/>
  <c r="J2133" i="131" s="1"/>
  <c r="I2134" i="131"/>
  <c r="J2128" i="131"/>
  <c r="I2128" i="131"/>
  <c r="I2127" i="131" s="1"/>
  <c r="J340" i="114" s="1"/>
  <c r="J339" i="114" s="1"/>
  <c r="J2121" i="131"/>
  <c r="I2121" i="131"/>
  <c r="J2118" i="131"/>
  <c r="J2117" i="131" s="1"/>
  <c r="I2118" i="131"/>
  <c r="I2117" i="131" s="1"/>
  <c r="J336" i="114" s="1"/>
  <c r="J335" i="114" s="1"/>
  <c r="J2115" i="131"/>
  <c r="I2115" i="131"/>
  <c r="J2112" i="131"/>
  <c r="J2111" i="131" s="1"/>
  <c r="I2112" i="131"/>
  <c r="I2111" i="131" s="1"/>
  <c r="J332" i="114" s="1"/>
  <c r="J331" i="114" s="1"/>
  <c r="J2107" i="131"/>
  <c r="I2107" i="131"/>
  <c r="J2100" i="131"/>
  <c r="I2100" i="131"/>
  <c r="J2096" i="131"/>
  <c r="I2096" i="131"/>
  <c r="J2092" i="131"/>
  <c r="J2090" i="131"/>
  <c r="I2090" i="131"/>
  <c r="J2087" i="131"/>
  <c r="J2086" i="131" s="1"/>
  <c r="J2085" i="131" s="1"/>
  <c r="I2087" i="131"/>
  <c r="I2086" i="131" s="1"/>
  <c r="I2085" i="131" s="1"/>
  <c r="J2083" i="131"/>
  <c r="J2082" i="131" s="1"/>
  <c r="K326" i="114" s="1"/>
  <c r="I2083" i="131"/>
  <c r="I2082" i="131" s="1"/>
  <c r="J2079" i="131"/>
  <c r="J2076" i="131"/>
  <c r="J2075" i="131" s="1"/>
  <c r="I2076" i="131"/>
  <c r="J2073" i="131"/>
  <c r="J2069" i="131"/>
  <c r="J2068" i="131" s="1"/>
  <c r="I2069" i="131"/>
  <c r="J2057" i="131"/>
  <c r="J2056" i="131" s="1"/>
  <c r="I2057" i="131"/>
  <c r="I2056" i="131" s="1"/>
  <c r="I2054" i="131"/>
  <c r="I2053" i="131" s="1"/>
  <c r="J2048" i="131"/>
  <c r="I2048" i="131"/>
  <c r="J2044" i="131"/>
  <c r="I2044" i="131"/>
  <c r="J2040" i="131"/>
  <c r="I2040" i="131"/>
  <c r="J2033" i="131"/>
  <c r="I2033" i="131"/>
  <c r="J2031" i="131"/>
  <c r="I2031" i="131"/>
  <c r="J2029" i="131"/>
  <c r="I2029" i="131"/>
  <c r="J2026" i="131"/>
  <c r="I2026" i="131"/>
  <c r="J2017" i="131"/>
  <c r="J2014" i="131"/>
  <c r="I2014" i="131"/>
  <c r="J2012" i="131"/>
  <c r="I2012" i="131"/>
  <c r="J2010" i="131"/>
  <c r="I2010" i="131"/>
  <c r="J2008" i="131"/>
  <c r="I2008" i="131"/>
  <c r="J2004" i="131"/>
  <c r="I2004" i="131"/>
  <c r="J2000" i="131"/>
  <c r="I2000" i="131"/>
  <c r="J1998" i="131"/>
  <c r="I1998" i="131"/>
  <c r="J1996" i="131"/>
  <c r="I1996" i="131"/>
  <c r="J1994" i="131"/>
  <c r="I1994" i="131"/>
  <c r="J1991" i="131"/>
  <c r="I1991" i="131"/>
  <c r="J1988" i="131"/>
  <c r="J1986" i="131" s="1"/>
  <c r="I1988" i="131"/>
  <c r="I1986" i="131"/>
  <c r="J1983" i="131"/>
  <c r="I1983" i="131"/>
  <c r="J1972" i="131"/>
  <c r="I1972" i="131"/>
  <c r="J1968" i="131"/>
  <c r="I1968" i="131"/>
  <c r="I1967" i="131" s="1"/>
  <c r="J1943" i="131"/>
  <c r="I1943" i="131"/>
  <c r="J1941" i="131"/>
  <c r="I1941" i="131"/>
  <c r="J1938" i="131"/>
  <c r="J1937" i="131" s="1"/>
  <c r="K357" i="114" s="1"/>
  <c r="K356" i="114" s="1"/>
  <c r="I1938" i="131"/>
  <c r="J1935" i="131"/>
  <c r="I1935" i="131"/>
  <c r="I1934" i="131" s="1"/>
  <c r="J355" i="114" s="1"/>
  <c r="J354" i="114" s="1"/>
  <c r="J1932" i="131"/>
  <c r="J1931" i="131" s="1"/>
  <c r="I1932" i="131"/>
  <c r="J1929" i="131"/>
  <c r="I1929" i="131"/>
  <c r="J1926" i="131"/>
  <c r="J1925" i="131" s="1"/>
  <c r="I1926" i="131"/>
  <c r="J1923" i="131"/>
  <c r="J1920" i="131"/>
  <c r="I1920" i="131"/>
  <c r="J1917" i="131"/>
  <c r="I1917" i="131"/>
  <c r="I1916" i="131" s="1"/>
  <c r="I1910" i="131"/>
  <c r="J1905" i="131"/>
  <c r="I1905" i="131"/>
  <c r="J1901" i="131"/>
  <c r="I1901" i="131"/>
  <c r="J1898" i="131"/>
  <c r="J1897" i="131" s="1"/>
  <c r="K145" i="114" s="1"/>
  <c r="K144" i="114" s="1"/>
  <c r="I1898" i="131"/>
  <c r="J1895" i="131"/>
  <c r="I1895" i="131"/>
  <c r="J1892" i="131"/>
  <c r="J1891" i="131" s="1"/>
  <c r="I1892" i="131"/>
  <c r="J1887" i="131"/>
  <c r="I1887" i="131"/>
  <c r="I1886" i="131" s="1"/>
  <c r="J1880" i="131"/>
  <c r="J1879" i="131" s="1"/>
  <c r="J1878" i="131" s="1"/>
  <c r="J1877" i="131" s="1"/>
  <c r="I1880" i="131"/>
  <c r="I1879" i="131" s="1"/>
  <c r="J1875" i="131"/>
  <c r="I1875" i="131"/>
  <c r="J1873" i="131"/>
  <c r="I1873" i="131"/>
  <c r="J1867" i="131"/>
  <c r="I1867" i="131"/>
  <c r="J1865" i="131"/>
  <c r="I1865" i="131"/>
  <c r="J1862" i="131"/>
  <c r="I1862" i="131"/>
  <c r="J1859" i="131"/>
  <c r="I1859" i="131"/>
  <c r="J1855" i="131"/>
  <c r="I1855" i="131"/>
  <c r="I1854" i="131" s="1"/>
  <c r="J1852" i="131"/>
  <c r="I1852" i="131"/>
  <c r="J1849" i="131"/>
  <c r="J1848" i="131" s="1"/>
  <c r="I1849" i="131"/>
  <c r="I1848" i="131" s="1"/>
  <c r="J229" i="114" s="1"/>
  <c r="J228" i="114" s="1"/>
  <c r="J1845" i="131"/>
  <c r="I1845" i="131"/>
  <c r="I1844" i="131" s="1"/>
  <c r="J227" i="114" s="1"/>
  <c r="J226" i="114" s="1"/>
  <c r="J1841" i="131"/>
  <c r="J1840" i="131" s="1"/>
  <c r="I1841" i="131"/>
  <c r="I1840" i="131" s="1"/>
  <c r="J225" i="114" s="1"/>
  <c r="J224" i="114" s="1"/>
  <c r="J1838" i="131"/>
  <c r="I1838" i="131"/>
  <c r="J1835" i="131"/>
  <c r="J1834" i="131" s="1"/>
  <c r="K221" i="114" s="1"/>
  <c r="K220" i="114" s="1"/>
  <c r="I1835" i="131"/>
  <c r="J1832" i="131"/>
  <c r="I1832" i="131"/>
  <c r="J1829" i="131"/>
  <c r="I1829" i="131"/>
  <c r="J1826" i="131"/>
  <c r="J1825" i="131" s="1"/>
  <c r="K213" i="114" s="1"/>
  <c r="K212" i="114" s="1"/>
  <c r="I1826" i="131"/>
  <c r="J1823" i="131"/>
  <c r="J1822" i="131" s="1"/>
  <c r="I1823" i="131"/>
  <c r="I1822" i="131" s="1"/>
  <c r="J211" i="114" s="1"/>
  <c r="J210" i="114" s="1"/>
  <c r="J1817" i="131"/>
  <c r="I1817" i="131"/>
  <c r="J1815" i="131"/>
  <c r="I1815" i="131"/>
  <c r="J1804" i="131"/>
  <c r="I1804" i="131"/>
  <c r="J1795" i="131"/>
  <c r="I1795" i="131"/>
  <c r="J1792" i="131"/>
  <c r="I1792" i="131"/>
  <c r="J1789" i="131"/>
  <c r="I1789" i="131"/>
  <c r="J1787" i="131"/>
  <c r="I1787" i="131"/>
  <c r="J1783" i="131"/>
  <c r="I1783" i="131"/>
  <c r="J1781" i="131"/>
  <c r="I1781" i="131"/>
  <c r="J1772" i="131"/>
  <c r="J1771" i="131" s="1"/>
  <c r="I1772" i="131"/>
  <c r="J1765" i="131"/>
  <c r="J1764" i="131" s="1"/>
  <c r="I1765" i="131"/>
  <c r="I1764" i="131" s="1"/>
  <c r="J1762" i="131"/>
  <c r="I1762" i="131"/>
  <c r="J1760" i="131"/>
  <c r="I1760" i="131"/>
  <c r="J1758" i="131"/>
  <c r="I1758" i="131"/>
  <c r="J1755" i="131"/>
  <c r="I1755" i="131"/>
  <c r="J1753" i="131"/>
  <c r="I1753" i="131"/>
  <c r="J1751" i="131"/>
  <c r="I1751" i="131"/>
  <c r="J1749" i="131"/>
  <c r="I1749" i="131"/>
  <c r="J1747" i="131"/>
  <c r="I1747" i="131"/>
  <c r="J1745" i="131"/>
  <c r="I1745" i="131"/>
  <c r="J1743" i="131"/>
  <c r="I1743" i="131"/>
  <c r="J1741" i="131"/>
  <c r="I1741" i="131"/>
  <c r="J1735" i="131"/>
  <c r="J1734" i="131" s="1"/>
  <c r="J1733" i="131" s="1"/>
  <c r="J1732" i="131" s="1"/>
  <c r="J1731" i="131" s="1"/>
  <c r="J2459" i="131" s="1"/>
  <c r="I1735" i="131"/>
  <c r="J1729" i="131"/>
  <c r="J1728" i="131" s="1"/>
  <c r="I1729" i="131"/>
  <c r="I1728" i="131" s="1"/>
  <c r="I1727" i="131" s="1"/>
  <c r="I1726" i="131" s="1"/>
  <c r="I1725" i="131" s="1"/>
  <c r="I2458" i="131" s="1"/>
  <c r="E66" i="36" s="1"/>
  <c r="J1722" i="131"/>
  <c r="J1721" i="131" s="1"/>
  <c r="I1722" i="131"/>
  <c r="I1721" i="131" s="1"/>
  <c r="I1720" i="131" s="1"/>
  <c r="I1719" i="131" s="1"/>
  <c r="I1718" i="131" s="1"/>
  <c r="I1717" i="131" s="1"/>
  <c r="J1715" i="131"/>
  <c r="I1715" i="131"/>
  <c r="J1713" i="131"/>
  <c r="I1713" i="131"/>
  <c r="J1711" i="131"/>
  <c r="I1711" i="131"/>
  <c r="J1697" i="131"/>
  <c r="I1697" i="131"/>
  <c r="J1694" i="131"/>
  <c r="I1694" i="131"/>
  <c r="J1686" i="131"/>
  <c r="I1686" i="131"/>
  <c r="J1683" i="131"/>
  <c r="I1683" i="131"/>
  <c r="J1677" i="131"/>
  <c r="J1675" i="131"/>
  <c r="I1675" i="131"/>
  <c r="J1667" i="131"/>
  <c r="I1667" i="131"/>
  <c r="J1665" i="131"/>
  <c r="I1665" i="131"/>
  <c r="J1663" i="131"/>
  <c r="I1663" i="131"/>
  <c r="J1661" i="131"/>
  <c r="I1661" i="131"/>
  <c r="J1659" i="131"/>
  <c r="I1659" i="131"/>
  <c r="J1657" i="131"/>
  <c r="I1657" i="131"/>
  <c r="J1655" i="131"/>
  <c r="I1655" i="131"/>
  <c r="J1653" i="131"/>
  <c r="I1653" i="131"/>
  <c r="J1651" i="131"/>
  <c r="I1651" i="131"/>
  <c r="J1649" i="131"/>
  <c r="I1649" i="131"/>
  <c r="J1646" i="131"/>
  <c r="J1645" i="131" s="1"/>
  <c r="J1644" i="131" s="1"/>
  <c r="I1646" i="131"/>
  <c r="I1645" i="131" s="1"/>
  <c r="J1642" i="131"/>
  <c r="J1641" i="131" s="1"/>
  <c r="J1640" i="131" s="1"/>
  <c r="I1642" i="131"/>
  <c r="J1638" i="131"/>
  <c r="I1638" i="131"/>
  <c r="J1635" i="131"/>
  <c r="J1634" i="131" s="1"/>
  <c r="I1635" i="131"/>
  <c r="I1634" i="131" s="1"/>
  <c r="J1632" i="131"/>
  <c r="I1632" i="131"/>
  <c r="J1630" i="131"/>
  <c r="I1630" i="131"/>
  <c r="J1625" i="131"/>
  <c r="J1624" i="131" s="1"/>
  <c r="I1625" i="131"/>
  <c r="I1624" i="131" s="1"/>
  <c r="J1622" i="131"/>
  <c r="I1622" i="131"/>
  <c r="J1620" i="131"/>
  <c r="I1620" i="131"/>
  <c r="J1614" i="131"/>
  <c r="I1614" i="131"/>
  <c r="J1612" i="131"/>
  <c r="I1612" i="131"/>
  <c r="J1610" i="131"/>
  <c r="I1610" i="131"/>
  <c r="J1605" i="131"/>
  <c r="I1605" i="131"/>
  <c r="J1603" i="131"/>
  <c r="I1603" i="131"/>
  <c r="J1601" i="131"/>
  <c r="I1601" i="131"/>
  <c r="J1599" i="131"/>
  <c r="I1599" i="131"/>
  <c r="J1597" i="131"/>
  <c r="I1597" i="131"/>
  <c r="J1594" i="131"/>
  <c r="I1594" i="131"/>
  <c r="J1592" i="131"/>
  <c r="I1592" i="131"/>
  <c r="J1590" i="131"/>
  <c r="I1590" i="131"/>
  <c r="J1587" i="131"/>
  <c r="I1587" i="131"/>
  <c r="J1576" i="131"/>
  <c r="I1576" i="131"/>
  <c r="J1570" i="131"/>
  <c r="I1570" i="131"/>
  <c r="J1564" i="131"/>
  <c r="J1560" i="131"/>
  <c r="I1560" i="131"/>
  <c r="J1558" i="131"/>
  <c r="I1558" i="131"/>
  <c r="J1551" i="131"/>
  <c r="I1551" i="131"/>
  <c r="I1550" i="131" s="1"/>
  <c r="I1549" i="131" s="1"/>
  <c r="J1547" i="131"/>
  <c r="I1547" i="131"/>
  <c r="J1545" i="131"/>
  <c r="I1545" i="131"/>
  <c r="J1543" i="131"/>
  <c r="I1543" i="131"/>
  <c r="J1541" i="131"/>
  <c r="I1541" i="131"/>
  <c r="J1539" i="131"/>
  <c r="I1539" i="131"/>
  <c r="J1533" i="131"/>
  <c r="J1528" i="131"/>
  <c r="J1527" i="131" s="1"/>
  <c r="I1528" i="131"/>
  <c r="J1525" i="131"/>
  <c r="I1525" i="131"/>
  <c r="I1524" i="131" s="1"/>
  <c r="J150" i="114" s="1"/>
  <c r="J149" i="114" s="1"/>
  <c r="J148" i="114" s="1"/>
  <c r="J1519" i="131"/>
  <c r="I1519" i="131"/>
  <c r="J1517" i="131"/>
  <c r="I1517" i="131"/>
  <c r="J1511" i="131"/>
  <c r="J1510" i="131" s="1"/>
  <c r="J1509" i="131" s="1"/>
  <c r="J1508" i="131" s="1"/>
  <c r="J1507" i="131" s="1"/>
  <c r="I1511" i="131"/>
  <c r="J1505" i="131"/>
  <c r="I1505" i="131"/>
  <c r="I1503" i="131"/>
  <c r="J1503" i="131"/>
  <c r="J1495" i="131"/>
  <c r="I1495" i="131"/>
  <c r="J1493" i="131"/>
  <c r="I1493" i="131"/>
  <c r="J1488" i="131"/>
  <c r="I1488" i="131"/>
  <c r="J1486" i="131"/>
  <c r="I1486" i="131"/>
  <c r="J1480" i="131"/>
  <c r="J1479" i="131" s="1"/>
  <c r="J1478" i="131" s="1"/>
  <c r="I1480" i="131"/>
  <c r="I1479" i="131" s="1"/>
  <c r="I1478" i="131" s="1"/>
  <c r="J1476" i="131"/>
  <c r="I1476" i="131"/>
  <c r="J1474" i="131"/>
  <c r="I1474" i="131"/>
  <c r="J1469" i="131"/>
  <c r="I1469" i="131"/>
  <c r="J1466" i="131"/>
  <c r="I1466" i="131"/>
  <c r="J1461" i="131"/>
  <c r="I1461" i="131"/>
  <c r="J1459" i="131"/>
  <c r="I1459" i="131"/>
  <c r="J1457" i="131"/>
  <c r="I1457" i="131"/>
  <c r="J1455" i="131"/>
  <c r="I1455" i="131"/>
  <c r="J1453" i="131"/>
  <c r="I1453" i="131"/>
  <c r="J1451" i="131"/>
  <c r="I1451" i="131"/>
  <c r="J1448" i="131"/>
  <c r="J1447" i="131" s="1"/>
  <c r="J1446" i="131" s="1"/>
  <c r="I1448" i="131"/>
  <c r="J1444" i="131"/>
  <c r="J1443" i="131" s="1"/>
  <c r="I1444" i="131"/>
  <c r="I1443" i="131" s="1"/>
  <c r="J189" i="114" s="1"/>
  <c r="J188" i="114" s="1"/>
  <c r="J1441" i="131"/>
  <c r="J1438" i="131"/>
  <c r="I1438" i="131"/>
  <c r="I1437" i="131" s="1"/>
  <c r="J1435" i="131"/>
  <c r="J1434" i="131" s="1"/>
  <c r="I1435" i="131"/>
  <c r="J1430" i="131"/>
  <c r="J1429" i="131" s="1"/>
  <c r="I1430" i="131"/>
  <c r="I1429" i="131" s="1"/>
  <c r="J1417" i="131"/>
  <c r="I1417" i="131"/>
  <c r="I1416" i="131" s="1"/>
  <c r="J1414" i="131"/>
  <c r="J1413" i="131" s="1"/>
  <c r="K253" i="114" s="1"/>
  <c r="I1414" i="131"/>
  <c r="J1407" i="131"/>
  <c r="I1407" i="131"/>
  <c r="J1405" i="131"/>
  <c r="I1405" i="131"/>
  <c r="J1403" i="131"/>
  <c r="I1403" i="131"/>
  <c r="J1401" i="131"/>
  <c r="I1401" i="131"/>
  <c r="J1397" i="131"/>
  <c r="I1397" i="131"/>
  <c r="J1394" i="131"/>
  <c r="I1394" i="131"/>
  <c r="J1390" i="131"/>
  <c r="I1390" i="131"/>
  <c r="J1388" i="131"/>
  <c r="I1388" i="131"/>
  <c r="J1384" i="131"/>
  <c r="I1384" i="131"/>
  <c r="J1382" i="131"/>
  <c r="I1382" i="131"/>
  <c r="J1380" i="131"/>
  <c r="I1380" i="131"/>
  <c r="J1377" i="131"/>
  <c r="I1377" i="131"/>
  <c r="J1375" i="131"/>
  <c r="I1375" i="131"/>
  <c r="J1373" i="131"/>
  <c r="I1373" i="131"/>
  <c r="J1371" i="131"/>
  <c r="I1371" i="131"/>
  <c r="J1365" i="131"/>
  <c r="I1365" i="131"/>
  <c r="J1363" i="131"/>
  <c r="I1363" i="131"/>
  <c r="I1360" i="131"/>
  <c r="I1354" i="131"/>
  <c r="J1350" i="131"/>
  <c r="J1349" i="131" s="1"/>
  <c r="I1350" i="131"/>
  <c r="I1349" i="131" s="1"/>
  <c r="J1346" i="131"/>
  <c r="I1346" i="131"/>
  <c r="J1343" i="131"/>
  <c r="I1343" i="131"/>
  <c r="I1341" i="131"/>
  <c r="I1340" i="131" s="1"/>
  <c r="J1340" i="131"/>
  <c r="J1339" i="131" s="1"/>
  <c r="K304" i="114" s="1"/>
  <c r="J1337" i="131"/>
  <c r="J1336" i="131" s="1"/>
  <c r="I1337" i="131"/>
  <c r="J1334" i="131"/>
  <c r="J1333" i="131" s="1"/>
  <c r="I1334" i="131"/>
  <c r="I1333" i="131" s="1"/>
  <c r="J1330" i="131"/>
  <c r="I1330" i="131"/>
  <c r="I1329" i="131" s="1"/>
  <c r="J287" i="114" s="1"/>
  <c r="J1327" i="131"/>
  <c r="J1326" i="131" s="1"/>
  <c r="K282" i="114" s="1"/>
  <c r="I1327" i="131"/>
  <c r="I1326" i="131" s="1"/>
  <c r="J282" i="114" s="1"/>
  <c r="J1318" i="131"/>
  <c r="J1317" i="131" s="1"/>
  <c r="I1318" i="131"/>
  <c r="I1317" i="131" s="1"/>
  <c r="J41" i="114" s="1"/>
  <c r="J1315" i="131"/>
  <c r="I1315" i="131"/>
  <c r="J1312" i="131"/>
  <c r="I1312" i="131"/>
  <c r="J1309" i="131"/>
  <c r="J1308" i="131" s="1"/>
  <c r="J1307" i="131" s="1"/>
  <c r="I1308" i="131"/>
  <c r="I1307" i="131" s="1"/>
  <c r="J27" i="114" s="1"/>
  <c r="J1304" i="131"/>
  <c r="J1303" i="131" s="1"/>
  <c r="I1304" i="131"/>
  <c r="J1300" i="131"/>
  <c r="J1299" i="131" s="1"/>
  <c r="I1300" i="131"/>
  <c r="J1297" i="131"/>
  <c r="J1296" i="131" s="1"/>
  <c r="K18" i="114" s="1"/>
  <c r="I1297" i="131"/>
  <c r="I1296" i="131" s="1"/>
  <c r="J1294" i="131"/>
  <c r="I1294" i="131"/>
  <c r="I1293" i="131" s="1"/>
  <c r="J15" i="114" s="1"/>
  <c r="J14" i="114" s="1"/>
  <c r="J1291" i="131"/>
  <c r="J1290" i="131" s="1"/>
  <c r="I1291" i="131"/>
  <c r="J1286" i="131"/>
  <c r="I1286" i="131"/>
  <c r="J1284" i="131"/>
  <c r="J1283" i="131" s="1"/>
  <c r="J1282" i="131" s="1"/>
  <c r="J2412" i="131" s="1"/>
  <c r="I1284" i="131"/>
  <c r="J1280" i="131"/>
  <c r="I1280" i="131"/>
  <c r="J1270" i="131"/>
  <c r="I1270" i="131"/>
  <c r="J1260" i="131"/>
  <c r="I1260" i="131"/>
  <c r="J1257" i="131"/>
  <c r="I1257" i="131"/>
  <c r="J1255" i="131"/>
  <c r="I1255" i="131"/>
  <c r="J1252" i="131"/>
  <c r="I1252" i="131"/>
  <c r="J1244" i="131"/>
  <c r="I1244" i="131"/>
  <c r="J1241" i="131"/>
  <c r="I1241" i="131"/>
  <c r="J1238" i="131"/>
  <c r="I1238" i="131"/>
  <c r="J1229" i="131"/>
  <c r="I1229" i="131"/>
  <c r="J1226" i="131"/>
  <c r="I1226" i="131"/>
  <c r="J1224" i="131"/>
  <c r="I1224" i="131"/>
  <c r="I1223" i="131" s="1"/>
  <c r="J1218" i="131"/>
  <c r="I1218" i="131"/>
  <c r="J1216" i="131"/>
  <c r="I1216" i="131"/>
  <c r="J1214" i="131"/>
  <c r="I1214" i="131"/>
  <c r="J1212" i="131"/>
  <c r="I1212" i="131"/>
  <c r="J1210" i="131"/>
  <c r="I1210" i="131"/>
  <c r="J1208" i="131"/>
  <c r="I1208" i="131"/>
  <c r="J1203" i="131"/>
  <c r="I1203" i="131"/>
  <c r="J1194" i="131"/>
  <c r="J1193" i="131" s="1"/>
  <c r="J1192" i="131" s="1"/>
  <c r="I1194" i="131"/>
  <c r="J1190" i="131"/>
  <c r="J1189" i="131" s="1"/>
  <c r="I1190" i="131"/>
  <c r="I1189" i="131" s="1"/>
  <c r="J1187" i="131"/>
  <c r="J1186" i="131" s="1"/>
  <c r="I1187" i="131"/>
  <c r="J1180" i="131"/>
  <c r="I1180" i="131"/>
  <c r="I1179" i="131" s="1"/>
  <c r="J286" i="114" s="1"/>
  <c r="J1177" i="131"/>
  <c r="J1176" i="131" s="1"/>
  <c r="K281" i="114" s="1"/>
  <c r="I1177" i="131"/>
  <c r="I1176" i="131" s="1"/>
  <c r="J281" i="114" s="1"/>
  <c r="J1173" i="131"/>
  <c r="J1172" i="131" s="1"/>
  <c r="J1171" i="131" s="1"/>
  <c r="I1173" i="131"/>
  <c r="I1172" i="131" s="1"/>
  <c r="J1169" i="131"/>
  <c r="J1168" i="131" s="1"/>
  <c r="K40" i="114" s="1"/>
  <c r="I1169" i="131"/>
  <c r="I1168" i="131" s="1"/>
  <c r="J40" i="114" s="1"/>
  <c r="J1166" i="131"/>
  <c r="I1166" i="131"/>
  <c r="J1164" i="131"/>
  <c r="I1164" i="131"/>
  <c r="J1161" i="131"/>
  <c r="I1161" i="131"/>
  <c r="J1158" i="131"/>
  <c r="I1158" i="131"/>
  <c r="J1155" i="131"/>
  <c r="I1155" i="131"/>
  <c r="J1153" i="131"/>
  <c r="I1153" i="131"/>
  <c r="J1149" i="131"/>
  <c r="I1149" i="131"/>
  <c r="J1143" i="131"/>
  <c r="I1143" i="131"/>
  <c r="J1137" i="131"/>
  <c r="I1137" i="131"/>
  <c r="J1134" i="131"/>
  <c r="I1134" i="131"/>
  <c r="J1128" i="131"/>
  <c r="I1128" i="131"/>
  <c r="J1125" i="131"/>
  <c r="I1125" i="131"/>
  <c r="J1122" i="131"/>
  <c r="I1122" i="131"/>
  <c r="I1095" i="131"/>
  <c r="I1094" i="131" s="1"/>
  <c r="I1093" i="131" s="1"/>
  <c r="J1089" i="131"/>
  <c r="I1089" i="131"/>
  <c r="J1085" i="131"/>
  <c r="I1085" i="131"/>
  <c r="J1080" i="131"/>
  <c r="I1080" i="131"/>
  <c r="J1077" i="131"/>
  <c r="I1077" i="131"/>
  <c r="J1070" i="131"/>
  <c r="I1070" i="131"/>
  <c r="J1067" i="131"/>
  <c r="I1067" i="131"/>
  <c r="J1061" i="131"/>
  <c r="I1061" i="131"/>
  <c r="J1059" i="131"/>
  <c r="I1059" i="131"/>
  <c r="J1052" i="131"/>
  <c r="I1052" i="131"/>
  <c r="J1049" i="131"/>
  <c r="I1049" i="131"/>
  <c r="J1046" i="131"/>
  <c r="I1046" i="131"/>
  <c r="J1044" i="131"/>
  <c r="I1044" i="131"/>
  <c r="J1040" i="131"/>
  <c r="J1039" i="131" s="1"/>
  <c r="I1040" i="131"/>
  <c r="I1039" i="131" s="1"/>
  <c r="J1036" i="131"/>
  <c r="J1035" i="131" s="1"/>
  <c r="I1036" i="131"/>
  <c r="I1035" i="131" s="1"/>
  <c r="J173" i="114" s="1"/>
  <c r="J172" i="114" s="1"/>
  <c r="J171" i="114" s="1"/>
  <c r="J1032" i="131"/>
  <c r="J1031" i="131" s="1"/>
  <c r="I1032" i="131"/>
  <c r="I1031" i="131" s="1"/>
  <c r="J1028" i="131"/>
  <c r="I1028" i="131"/>
  <c r="J1025" i="131"/>
  <c r="I1025" i="131"/>
  <c r="J1022" i="131"/>
  <c r="I1022" i="131"/>
  <c r="J1019" i="131"/>
  <c r="I1019" i="131"/>
  <c r="J1012" i="131"/>
  <c r="I1012" i="131"/>
  <c r="J1010" i="131"/>
  <c r="I1010" i="131"/>
  <c r="J1007" i="131"/>
  <c r="I1007" i="131"/>
  <c r="J1004" i="131"/>
  <c r="I1004" i="131"/>
  <c r="J1001" i="131"/>
  <c r="I1001" i="131"/>
  <c r="J998" i="131"/>
  <c r="I998" i="131"/>
  <c r="J996" i="131"/>
  <c r="I996" i="131"/>
  <c r="J991" i="131"/>
  <c r="I991" i="131"/>
  <c r="J988" i="131"/>
  <c r="I988" i="131"/>
  <c r="J985" i="131"/>
  <c r="I985" i="131"/>
  <c r="J980" i="131"/>
  <c r="J979" i="131" s="1"/>
  <c r="I980" i="131"/>
  <c r="J976" i="131"/>
  <c r="I976" i="131"/>
  <c r="I975" i="131" s="1"/>
  <c r="I974" i="131" s="1"/>
  <c r="J972" i="131"/>
  <c r="J971" i="131" s="1"/>
  <c r="I972" i="131"/>
  <c r="I971" i="131" s="1"/>
  <c r="J969" i="131"/>
  <c r="I969" i="131"/>
  <c r="J966" i="131"/>
  <c r="I966" i="131"/>
  <c r="J961" i="131"/>
  <c r="J960" i="131" s="1"/>
  <c r="J959" i="131" s="1"/>
  <c r="I961" i="131"/>
  <c r="I960" i="131" s="1"/>
  <c r="J176" i="114" s="1"/>
  <c r="J956" i="131"/>
  <c r="J955" i="131" s="1"/>
  <c r="I956" i="131"/>
  <c r="I955" i="131" s="1"/>
  <c r="J953" i="131"/>
  <c r="I953" i="131"/>
  <c r="J948" i="131"/>
  <c r="I948" i="131"/>
  <c r="J946" i="131"/>
  <c r="I946" i="131"/>
  <c r="J943" i="131"/>
  <c r="I943" i="131"/>
  <c r="J940" i="131"/>
  <c r="I940" i="131"/>
  <c r="J937" i="131"/>
  <c r="I937" i="131"/>
  <c r="J934" i="131"/>
  <c r="I934" i="131"/>
  <c r="J931" i="131"/>
  <c r="I931" i="131"/>
  <c r="J928" i="131"/>
  <c r="I928" i="131"/>
  <c r="J922" i="131"/>
  <c r="I922" i="131"/>
  <c r="J919" i="131"/>
  <c r="I919" i="131"/>
  <c r="J916" i="131"/>
  <c r="I916" i="131"/>
  <c r="J913" i="131"/>
  <c r="I913" i="131"/>
  <c r="J910" i="131"/>
  <c r="I910" i="131"/>
  <c r="J905" i="131"/>
  <c r="I905" i="131"/>
  <c r="J900" i="131"/>
  <c r="J899" i="131" s="1"/>
  <c r="I900" i="131"/>
  <c r="J895" i="131"/>
  <c r="I895" i="131"/>
  <c r="J893" i="131"/>
  <c r="I893" i="131"/>
  <c r="J891" i="131"/>
  <c r="I891" i="131"/>
  <c r="J889" i="131"/>
  <c r="I889" i="131"/>
  <c r="J887" i="131"/>
  <c r="I887" i="131"/>
  <c r="J882" i="131"/>
  <c r="I882" i="131"/>
  <c r="J879" i="131"/>
  <c r="I879" i="131"/>
  <c r="J875" i="131"/>
  <c r="I875" i="131"/>
  <c r="J873" i="131"/>
  <c r="I873" i="131"/>
  <c r="J871" i="131"/>
  <c r="I871" i="131"/>
  <c r="J868" i="131"/>
  <c r="I868" i="131"/>
  <c r="J864" i="131"/>
  <c r="I864" i="131"/>
  <c r="J861" i="131"/>
  <c r="I861" i="131"/>
  <c r="J858" i="131"/>
  <c r="I858" i="131"/>
  <c r="I857" i="131" s="1"/>
  <c r="J849" i="131"/>
  <c r="I849" i="131"/>
  <c r="J841" i="131"/>
  <c r="I841" i="131"/>
  <c r="J839" i="131"/>
  <c r="I839" i="131"/>
  <c r="J836" i="131"/>
  <c r="I836" i="131"/>
  <c r="J833" i="131"/>
  <c r="I833" i="131"/>
  <c r="J830" i="131"/>
  <c r="I830" i="131"/>
  <c r="J827" i="131"/>
  <c r="I827" i="131"/>
  <c r="J821" i="131"/>
  <c r="I821" i="131"/>
  <c r="J818" i="131"/>
  <c r="I818" i="131"/>
  <c r="J813" i="131"/>
  <c r="I813" i="131"/>
  <c r="J808" i="131"/>
  <c r="I808" i="131"/>
  <c r="I807" i="131" s="1"/>
  <c r="J801" i="131"/>
  <c r="I801" i="131"/>
  <c r="J799" i="131"/>
  <c r="I799" i="131"/>
  <c r="J797" i="131"/>
  <c r="I797" i="131"/>
  <c r="J795" i="131"/>
  <c r="J794" i="131" s="1"/>
  <c r="I795" i="131"/>
  <c r="I794" i="131" s="1"/>
  <c r="J792" i="131"/>
  <c r="I792" i="131"/>
  <c r="J789" i="131"/>
  <c r="I789" i="131"/>
  <c r="I788" i="131" s="1"/>
  <c r="I787" i="131" s="1"/>
  <c r="J785" i="131"/>
  <c r="I785" i="131"/>
  <c r="J783" i="131"/>
  <c r="I783" i="131"/>
  <c r="J781" i="131"/>
  <c r="I781" i="131"/>
  <c r="J778" i="131"/>
  <c r="I778" i="131"/>
  <c r="I777" i="131" s="1"/>
  <c r="J774" i="131"/>
  <c r="I774" i="131"/>
  <c r="J772" i="131"/>
  <c r="I772" i="131"/>
  <c r="J770" i="131"/>
  <c r="I770" i="131"/>
  <c r="J766" i="131"/>
  <c r="I766" i="131"/>
  <c r="I765" i="131" s="1"/>
  <c r="I764" i="131"/>
  <c r="I763" i="131" s="1"/>
  <c r="J763" i="131"/>
  <c r="J760" i="131"/>
  <c r="I760" i="131"/>
  <c r="I759" i="131" s="1"/>
  <c r="J756" i="131"/>
  <c r="I756" i="131"/>
  <c r="J752" i="131"/>
  <c r="I752" i="131"/>
  <c r="J750" i="131"/>
  <c r="I750" i="131"/>
  <c r="J741" i="131"/>
  <c r="J740" i="131" s="1"/>
  <c r="J739" i="131" s="1"/>
  <c r="J738" i="131" s="1"/>
  <c r="I741" i="131"/>
  <c r="J736" i="131"/>
  <c r="I736" i="131"/>
  <c r="J734" i="131"/>
  <c r="I734" i="131"/>
  <c r="J732" i="131"/>
  <c r="I732" i="131"/>
  <c r="J730" i="131"/>
  <c r="I730" i="131"/>
  <c r="J728" i="131"/>
  <c r="I728" i="131"/>
  <c r="J726" i="131"/>
  <c r="I726" i="131"/>
  <c r="J721" i="131"/>
  <c r="I721" i="131"/>
  <c r="J718" i="131"/>
  <c r="I718" i="131"/>
  <c r="J706" i="131"/>
  <c r="I706" i="131"/>
  <c r="J703" i="131"/>
  <c r="I703" i="131"/>
  <c r="J697" i="131"/>
  <c r="I697" i="131"/>
  <c r="J693" i="131"/>
  <c r="I693" i="131"/>
  <c r="I692" i="131" s="1"/>
  <c r="I691" i="131" s="1"/>
  <c r="J687" i="131"/>
  <c r="I687" i="131"/>
  <c r="J685" i="131"/>
  <c r="I685" i="131"/>
  <c r="J674" i="131"/>
  <c r="J673" i="131" s="1"/>
  <c r="J672" i="131" s="1"/>
  <c r="I674" i="131"/>
  <c r="I673" i="131" s="1"/>
  <c r="I672" i="131" s="1"/>
  <c r="J670" i="131"/>
  <c r="I670" i="131"/>
  <c r="I669" i="131" s="1"/>
  <c r="J666" i="131"/>
  <c r="J665" i="131" s="1"/>
  <c r="I666" i="131"/>
  <c r="I665" i="131" s="1"/>
  <c r="J663" i="131"/>
  <c r="I663" i="131"/>
  <c r="J661" i="131"/>
  <c r="I661" i="131"/>
  <c r="J659" i="131"/>
  <c r="I659" i="131"/>
  <c r="J656" i="131"/>
  <c r="J655" i="131" s="1"/>
  <c r="I656" i="131"/>
  <c r="I655" i="131" s="1"/>
  <c r="J30" i="114" s="1"/>
  <c r="J653" i="131"/>
  <c r="I653" i="131"/>
  <c r="I652" i="131" s="1"/>
  <c r="J647" i="131"/>
  <c r="J646" i="131" s="1"/>
  <c r="J645" i="131" s="1"/>
  <c r="I647" i="131"/>
  <c r="I646" i="131" s="1"/>
  <c r="J643" i="131"/>
  <c r="J642" i="131" s="1"/>
  <c r="I643" i="131"/>
  <c r="I642" i="131" s="1"/>
  <c r="J640" i="131"/>
  <c r="I640" i="131"/>
  <c r="I639" i="131" s="1"/>
  <c r="J637" i="131"/>
  <c r="J636" i="131" s="1"/>
  <c r="I637" i="131"/>
  <c r="I636" i="131" s="1"/>
  <c r="J634" i="131"/>
  <c r="I634" i="131"/>
  <c r="I631" i="131" s="1"/>
  <c r="J98" i="114" s="1"/>
  <c r="J97" i="114" s="1"/>
  <c r="J632" i="131"/>
  <c r="I632" i="131"/>
  <c r="J628" i="131"/>
  <c r="I628" i="131"/>
  <c r="J626" i="131"/>
  <c r="I626" i="131"/>
  <c r="J622" i="131"/>
  <c r="I622" i="131"/>
  <c r="I621" i="131" s="1"/>
  <c r="J616" i="131"/>
  <c r="I616" i="131"/>
  <c r="J613" i="131"/>
  <c r="I613" i="131"/>
  <c r="J605" i="131"/>
  <c r="I605" i="131"/>
  <c r="J603" i="131"/>
  <c r="I603" i="131"/>
  <c r="J600" i="131"/>
  <c r="I600" i="131"/>
  <c r="J598" i="131"/>
  <c r="I598" i="131"/>
  <c r="J596" i="131"/>
  <c r="I596" i="131"/>
  <c r="J594" i="131"/>
  <c r="J591" i="131"/>
  <c r="I591" i="131"/>
  <c r="J588" i="131"/>
  <c r="I588" i="131"/>
  <c r="J586" i="131"/>
  <c r="I586" i="131"/>
  <c r="J584" i="131"/>
  <c r="I584" i="131"/>
  <c r="J582" i="131"/>
  <c r="I582" i="131"/>
  <c r="J580" i="131"/>
  <c r="I580" i="131"/>
  <c r="J578" i="131"/>
  <c r="I578" i="131"/>
  <c r="J576" i="131"/>
  <c r="I576" i="131"/>
  <c r="J574" i="131"/>
  <c r="I574" i="131"/>
  <c r="J572" i="131"/>
  <c r="I572" i="131"/>
  <c r="J570" i="131"/>
  <c r="I570" i="131"/>
  <c r="J563" i="131"/>
  <c r="I563" i="131"/>
  <c r="I562" i="131" s="1"/>
  <c r="J560" i="131"/>
  <c r="J559" i="131" s="1"/>
  <c r="I560" i="131"/>
  <c r="J557" i="131"/>
  <c r="I557" i="131"/>
  <c r="J553" i="131"/>
  <c r="I553" i="131"/>
  <c r="I552" i="131" s="1"/>
  <c r="J549" i="131"/>
  <c r="I549" i="131"/>
  <c r="J547" i="131"/>
  <c r="I547" i="131"/>
  <c r="J545" i="131"/>
  <c r="I545" i="131"/>
  <c r="J543" i="131"/>
  <c r="I543" i="131"/>
  <c r="J541" i="131"/>
  <c r="I541" i="131"/>
  <c r="J539" i="131"/>
  <c r="I539" i="131"/>
  <c r="J529" i="131"/>
  <c r="J528" i="131" s="1"/>
  <c r="J527" i="131" s="1"/>
  <c r="I529" i="131"/>
  <c r="J524" i="131"/>
  <c r="I524" i="131"/>
  <c r="J522" i="131"/>
  <c r="I522" i="131"/>
  <c r="J520" i="131"/>
  <c r="I520" i="131"/>
  <c r="J518" i="131"/>
  <c r="I518" i="131"/>
  <c r="J515" i="131"/>
  <c r="J514" i="131" s="1"/>
  <c r="I515" i="131"/>
  <c r="I514" i="131" s="1"/>
  <c r="J512" i="131"/>
  <c r="J511" i="131" s="1"/>
  <c r="I512" i="131"/>
  <c r="J509" i="131"/>
  <c r="J508" i="131" s="1"/>
  <c r="I509" i="131"/>
  <c r="I508" i="131" s="1"/>
  <c r="J506" i="131"/>
  <c r="I506" i="131"/>
  <c r="J503" i="131"/>
  <c r="J502" i="131" s="1"/>
  <c r="I503" i="131"/>
  <c r="I502" i="131" s="1"/>
  <c r="J499" i="131"/>
  <c r="I499" i="131"/>
  <c r="I498" i="131" s="1"/>
  <c r="J494" i="131"/>
  <c r="I494" i="131"/>
  <c r="J492" i="131"/>
  <c r="I492" i="131"/>
  <c r="J486" i="131"/>
  <c r="J485" i="131" s="1"/>
  <c r="J484" i="131" s="1"/>
  <c r="I486" i="131"/>
  <c r="I485" i="131" s="1"/>
  <c r="I484" i="131" s="1"/>
  <c r="J482" i="131"/>
  <c r="I482" i="131"/>
  <c r="J480" i="131"/>
  <c r="I480" i="131"/>
  <c r="J478" i="131"/>
  <c r="I478" i="131"/>
  <c r="J473" i="131"/>
  <c r="I473" i="131"/>
  <c r="I472" i="131" s="1"/>
  <c r="J467" i="131"/>
  <c r="J466" i="131" s="1"/>
  <c r="I467" i="131"/>
  <c r="J464" i="131"/>
  <c r="J463" i="131" s="1"/>
  <c r="I464" i="131"/>
  <c r="I463" i="131" s="1"/>
  <c r="J461" i="131"/>
  <c r="I461" i="131"/>
  <c r="J459" i="131"/>
  <c r="I459" i="131"/>
  <c r="J456" i="131"/>
  <c r="I456" i="131"/>
  <c r="J453" i="131"/>
  <c r="I453" i="131"/>
  <c r="I452" i="131" s="1"/>
  <c r="J450" i="131"/>
  <c r="J449" i="131" s="1"/>
  <c r="I450" i="131"/>
  <c r="J445" i="131"/>
  <c r="J444" i="131" s="1"/>
  <c r="I445" i="131"/>
  <c r="I444" i="131" s="1"/>
  <c r="J275" i="114" s="1"/>
  <c r="J274" i="114" s="1"/>
  <c r="J273" i="114" s="1"/>
  <c r="J438" i="131"/>
  <c r="I438" i="131"/>
  <c r="J436" i="131"/>
  <c r="I436" i="131"/>
  <c r="J433" i="131"/>
  <c r="J432" i="131" s="1"/>
  <c r="I433" i="131"/>
  <c r="J430" i="131"/>
  <c r="I430" i="131"/>
  <c r="J428" i="131"/>
  <c r="I428" i="131"/>
  <c r="J422" i="131"/>
  <c r="I422" i="131"/>
  <c r="J414" i="131"/>
  <c r="I414" i="131"/>
  <c r="J411" i="131"/>
  <c r="J410" i="131" s="1"/>
  <c r="I411" i="131"/>
  <c r="I410" i="131" s="1"/>
  <c r="J257" i="114" s="1"/>
  <c r="J256" i="114" s="1"/>
  <c r="J408" i="131"/>
  <c r="I408" i="131"/>
  <c r="J405" i="131"/>
  <c r="I405" i="131"/>
  <c r="J403" i="131"/>
  <c r="I403" i="131"/>
  <c r="J400" i="131"/>
  <c r="J399" i="131" s="1"/>
  <c r="I400" i="131"/>
  <c r="I399" i="131" s="1"/>
  <c r="J397" i="131"/>
  <c r="J396" i="131" s="1"/>
  <c r="K248" i="114" s="1"/>
  <c r="K247" i="114" s="1"/>
  <c r="I397" i="131"/>
  <c r="I396" i="131" s="1"/>
  <c r="J248" i="114" s="1"/>
  <c r="J247" i="114" s="1"/>
  <c r="J393" i="131"/>
  <c r="J392" i="131" s="1"/>
  <c r="I393" i="131"/>
  <c r="I392" i="131" s="1"/>
  <c r="J390" i="131"/>
  <c r="J389" i="131" s="1"/>
  <c r="I390" i="131"/>
  <c r="J387" i="131"/>
  <c r="J386" i="131" s="1"/>
  <c r="K241" i="114" s="1"/>
  <c r="K240" i="114" s="1"/>
  <c r="I387" i="131"/>
  <c r="I386" i="131" s="1"/>
  <c r="J241" i="114" s="1"/>
  <c r="J240" i="114" s="1"/>
  <c r="J384" i="131"/>
  <c r="J383" i="131" s="1"/>
  <c r="I384" i="131"/>
  <c r="J379" i="131"/>
  <c r="I379" i="131"/>
  <c r="J377" i="131"/>
  <c r="I377" i="131"/>
  <c r="J374" i="131"/>
  <c r="I374" i="131"/>
  <c r="J372" i="131"/>
  <c r="I372" i="131"/>
  <c r="J367" i="131"/>
  <c r="I367" i="131"/>
  <c r="J353" i="131"/>
  <c r="I353" i="131"/>
  <c r="J351" i="131"/>
  <c r="I351" i="131"/>
  <c r="J342" i="131"/>
  <c r="I342" i="131"/>
  <c r="J340" i="131"/>
  <c r="I340" i="131"/>
  <c r="J335" i="131"/>
  <c r="J330" i="131"/>
  <c r="I330" i="131"/>
  <c r="J327" i="131"/>
  <c r="J326" i="131" s="1"/>
  <c r="J322" i="131" s="1"/>
  <c r="I327" i="131"/>
  <c r="J320" i="131"/>
  <c r="J319" i="131" s="1"/>
  <c r="I320" i="131"/>
  <c r="I319" i="131" s="1"/>
  <c r="J316" i="131"/>
  <c r="I316" i="131"/>
  <c r="J313" i="131"/>
  <c r="J312" i="131" s="1"/>
  <c r="I313" i="131"/>
  <c r="I312" i="131" s="1"/>
  <c r="J308" i="131"/>
  <c r="I308" i="131"/>
  <c r="J305" i="131"/>
  <c r="I305" i="131"/>
  <c r="J295" i="131"/>
  <c r="I295" i="131"/>
  <c r="J292" i="131"/>
  <c r="I292" i="131"/>
  <c r="J281" i="131"/>
  <c r="I281" i="131"/>
  <c r="I280" i="131" s="1"/>
  <c r="J273" i="131"/>
  <c r="I273" i="131"/>
  <c r="J269" i="131"/>
  <c r="I269" i="131"/>
  <c r="J267" i="131"/>
  <c r="I267" i="131"/>
  <c r="J265" i="131"/>
  <c r="I265" i="131"/>
  <c r="J260" i="131"/>
  <c r="I260" i="131"/>
  <c r="J257" i="131"/>
  <c r="I257" i="131"/>
  <c r="J254" i="131"/>
  <c r="I254" i="131"/>
  <c r="J251" i="131"/>
  <c r="I251" i="131"/>
  <c r="J241" i="131"/>
  <c r="I241" i="131"/>
  <c r="I237" i="131"/>
  <c r="I236" i="131" s="1"/>
  <c r="J236" i="131"/>
  <c r="J232" i="131"/>
  <c r="J231" i="131" s="1"/>
  <c r="I232" i="131"/>
  <c r="I231" i="131" s="1"/>
  <c r="J229" i="131"/>
  <c r="I229" i="131"/>
  <c r="J222" i="131"/>
  <c r="I222" i="131"/>
  <c r="J220" i="131"/>
  <c r="I220" i="131"/>
  <c r="J217" i="131"/>
  <c r="J216" i="131" s="1"/>
  <c r="I217" i="131"/>
  <c r="I216" i="131" s="1"/>
  <c r="J214" i="131"/>
  <c r="J213" i="131" s="1"/>
  <c r="I214" i="131"/>
  <c r="I213" i="131" s="1"/>
  <c r="J208" i="131"/>
  <c r="J207" i="131" s="1"/>
  <c r="J206" i="131" s="1"/>
  <c r="J205" i="131" s="1"/>
  <c r="I208" i="131"/>
  <c r="I207" i="131" s="1"/>
  <c r="I206" i="131" s="1"/>
  <c r="J203" i="131"/>
  <c r="I203" i="131"/>
  <c r="I202" i="131" s="1"/>
  <c r="J197" i="131"/>
  <c r="I197" i="131"/>
  <c r="I196" i="131" s="1"/>
  <c r="J194" i="131"/>
  <c r="I194" i="131"/>
  <c r="I193" i="131" s="1"/>
  <c r="J191" i="131"/>
  <c r="J190" i="131" s="1"/>
  <c r="I191" i="131"/>
  <c r="J187" i="131"/>
  <c r="I187" i="131"/>
  <c r="I186" i="131" s="1"/>
  <c r="J183" i="131"/>
  <c r="I183" i="131"/>
  <c r="I182" i="131" s="1"/>
  <c r="J178" i="131"/>
  <c r="I178" i="131"/>
  <c r="I177" i="131" s="1"/>
  <c r="I176" i="131" s="1"/>
  <c r="I175" i="131" s="1"/>
  <c r="J167" i="131"/>
  <c r="I167" i="131"/>
  <c r="J164" i="131"/>
  <c r="I164" i="131"/>
  <c r="J162" i="131"/>
  <c r="I162" i="131"/>
  <c r="J155" i="131"/>
  <c r="I155" i="131"/>
  <c r="J152" i="131"/>
  <c r="I152" i="131"/>
  <c r="J150" i="131"/>
  <c r="I150" i="131"/>
  <c r="J147" i="131"/>
  <c r="I147" i="131"/>
  <c r="J145" i="131"/>
  <c r="I145" i="131"/>
  <c r="J142" i="131"/>
  <c r="I142" i="131"/>
  <c r="J140" i="131"/>
  <c r="I140" i="131"/>
  <c r="J137" i="131"/>
  <c r="I137" i="131"/>
  <c r="J133" i="131"/>
  <c r="I133" i="131"/>
  <c r="J124" i="131"/>
  <c r="J123" i="131" s="1"/>
  <c r="I124" i="131"/>
  <c r="J120" i="131"/>
  <c r="I120" i="131"/>
  <c r="J117" i="131"/>
  <c r="I117" i="131"/>
  <c r="I116" i="131" s="1"/>
  <c r="J114" i="131"/>
  <c r="J113" i="131" s="1"/>
  <c r="K392" i="114" s="1"/>
  <c r="K391" i="114" s="1"/>
  <c r="I114" i="131"/>
  <c r="I113" i="131" s="1"/>
  <c r="J392" i="114" s="1"/>
  <c r="J391" i="114" s="1"/>
  <c r="J110" i="131"/>
  <c r="J109" i="131" s="1"/>
  <c r="J108" i="131" s="1"/>
  <c r="J2401" i="131" s="1"/>
  <c r="I110" i="131"/>
  <c r="I109" i="131" s="1"/>
  <c r="J389" i="114" s="1"/>
  <c r="J388" i="114" s="1"/>
  <c r="J387" i="114" s="1"/>
  <c r="I106" i="131"/>
  <c r="J102" i="131"/>
  <c r="J101" i="131" s="1"/>
  <c r="I102" i="131"/>
  <c r="I101" i="131" s="1"/>
  <c r="J98" i="131"/>
  <c r="J97" i="131" s="1"/>
  <c r="I98" i="131"/>
  <c r="J95" i="131"/>
  <c r="J94" i="131" s="1"/>
  <c r="K70" i="114" s="1"/>
  <c r="K69" i="114" s="1"/>
  <c r="I95" i="131"/>
  <c r="I88" i="131"/>
  <c r="J84" i="131"/>
  <c r="J83" i="131" s="1"/>
  <c r="I84" i="131"/>
  <c r="I83" i="131" s="1"/>
  <c r="J64" i="114" s="1"/>
  <c r="J63" i="114" s="1"/>
  <c r="J67" i="131"/>
  <c r="J66" i="131" s="1"/>
  <c r="J65" i="131" s="1"/>
  <c r="I67" i="131"/>
  <c r="I66" i="131" s="1"/>
  <c r="I65" i="131" s="1"/>
  <c r="J59" i="131"/>
  <c r="I59" i="131"/>
  <c r="J56" i="131"/>
  <c r="I56" i="131"/>
  <c r="J51" i="131"/>
  <c r="I51" i="131"/>
  <c r="J47" i="131"/>
  <c r="I47" i="131"/>
  <c r="J36" i="131"/>
  <c r="I36" i="131"/>
  <c r="J33" i="131"/>
  <c r="I33" i="131"/>
  <c r="J30" i="131"/>
  <c r="I30" i="131"/>
  <c r="J27" i="131"/>
  <c r="I27" i="131"/>
  <c r="E144" i="1"/>
  <c r="E11" i="1"/>
  <c r="E10" i="1" s="1"/>
  <c r="D8" i="121"/>
  <c r="D7" i="121" s="1"/>
  <c r="G1910" i="131"/>
  <c r="G1909" i="131" s="1"/>
  <c r="H1755" i="131"/>
  <c r="G1755" i="131"/>
  <c r="G1095" i="131"/>
  <c r="G813" i="131"/>
  <c r="T817" i="131"/>
  <c r="W817" i="131"/>
  <c r="P1131" i="131"/>
  <c r="F175" i="1"/>
  <c r="P1795" i="131"/>
  <c r="H1373" i="131"/>
  <c r="G1373" i="131"/>
  <c r="A362" i="114"/>
  <c r="G1986" i="131"/>
  <c r="G1988" i="131"/>
  <c r="P1" i="131"/>
  <c r="G1880" i="131"/>
  <c r="G1879" i="131" s="1"/>
  <c r="G2054" i="131"/>
  <c r="G2053" i="131" s="1"/>
  <c r="T1431" i="131"/>
  <c r="W1431" i="131"/>
  <c r="H1430" i="131"/>
  <c r="G1430" i="131"/>
  <c r="C24" i="39"/>
  <c r="A360" i="114"/>
  <c r="H1880" i="131"/>
  <c r="AK125" i="1"/>
  <c r="D144" i="1"/>
  <c r="D11" i="1"/>
  <c r="D311" i="1" s="1"/>
  <c r="A230" i="114"/>
  <c r="A339" i="114"/>
  <c r="A337" i="114"/>
  <c r="A333" i="114"/>
  <c r="A329" i="114"/>
  <c r="H2107" i="131"/>
  <c r="G2107" i="131"/>
  <c r="H2128" i="131"/>
  <c r="H2127" i="131" s="1"/>
  <c r="I340" i="114" s="1"/>
  <c r="I339" i="114" s="1"/>
  <c r="G2128" i="131"/>
  <c r="G2127" i="131" s="1"/>
  <c r="H340" i="114" s="1"/>
  <c r="H339" i="114" s="1"/>
  <c r="H2121" i="131"/>
  <c r="G2121" i="131"/>
  <c r="H2115" i="131"/>
  <c r="H2114" i="131" s="1"/>
  <c r="I334" i="114" s="1"/>
  <c r="I333" i="114" s="1"/>
  <c r="G2115" i="131"/>
  <c r="G2114" i="131" s="1"/>
  <c r="A71" i="114"/>
  <c r="A69" i="114"/>
  <c r="A67" i="114"/>
  <c r="A65" i="114"/>
  <c r="G88" i="131"/>
  <c r="G87" i="131" s="1"/>
  <c r="H66" i="114" s="1"/>
  <c r="H65" i="114" s="1"/>
  <c r="G90" i="131"/>
  <c r="H68" i="114" s="1"/>
  <c r="H67" i="114" s="1"/>
  <c r="G95" i="131"/>
  <c r="G94" i="131" s="1"/>
  <c r="H70" i="114" s="1"/>
  <c r="H69" i="114" s="1"/>
  <c r="G98" i="131"/>
  <c r="G97" i="131" s="1"/>
  <c r="H72" i="114" s="1"/>
  <c r="H71" i="114" s="1"/>
  <c r="H98" i="131"/>
  <c r="H95" i="131"/>
  <c r="H94" i="131" s="1"/>
  <c r="H1852" i="131"/>
  <c r="H1851" i="131" s="1"/>
  <c r="G1852" i="131"/>
  <c r="G1851" i="131" s="1"/>
  <c r="H231" i="114" s="1"/>
  <c r="H230" i="114" s="1"/>
  <c r="G1341" i="131"/>
  <c r="K1341" i="131" s="1"/>
  <c r="M1341" i="131" s="1"/>
  <c r="G539" i="131"/>
  <c r="H2054" i="131"/>
  <c r="H2053" i="131" s="1"/>
  <c r="I403" i="114" s="1"/>
  <c r="G2243" i="131"/>
  <c r="D251" i="1"/>
  <c r="D248" i="1" s="1"/>
  <c r="E264" i="1"/>
  <c r="E311" i="1" s="1"/>
  <c r="H2253" i="131"/>
  <c r="G2253" i="131"/>
  <c r="G2252" i="131" s="1"/>
  <c r="H297" i="114" s="1"/>
  <c r="H2317" i="131"/>
  <c r="H2316" i="131" s="1"/>
  <c r="G2317" i="131"/>
  <c r="G2316" i="131" s="1"/>
  <c r="H2250" i="131"/>
  <c r="G2250" i="131"/>
  <c r="H2246" i="131"/>
  <c r="H2245" i="131" s="1"/>
  <c r="H2244" i="131" s="1"/>
  <c r="G2246" i="131"/>
  <c r="G2245" i="131" s="1"/>
  <c r="H1972" i="131"/>
  <c r="G1972" i="131"/>
  <c r="H1941" i="131"/>
  <c r="G1941" i="131"/>
  <c r="H1551" i="131"/>
  <c r="H1550" i="131" s="1"/>
  <c r="H1549" i="131" s="1"/>
  <c r="G1551" i="131"/>
  <c r="G1550" i="131" s="1"/>
  <c r="H1315" i="131"/>
  <c r="G1315" i="131"/>
  <c r="H1161" i="131"/>
  <c r="G1161" i="131"/>
  <c r="H1158" i="131"/>
  <c r="L1158" i="131" s="1"/>
  <c r="G1158" i="131"/>
  <c r="H1052" i="131"/>
  <c r="G1052" i="131"/>
  <c r="H414" i="131"/>
  <c r="H413" i="131" s="1"/>
  <c r="G414" i="131"/>
  <c r="G413" i="131" s="1"/>
  <c r="H259" i="114" s="1"/>
  <c r="H258" i="114" s="1"/>
  <c r="W415" i="131"/>
  <c r="T415" i="131"/>
  <c r="M313" i="1"/>
  <c r="E285" i="1"/>
  <c r="D286" i="1"/>
  <c r="D285" i="1" s="1"/>
  <c r="D14" i="273"/>
  <c r="H120" i="131"/>
  <c r="H119" i="131" s="1"/>
  <c r="G120" i="131"/>
  <c r="G119" i="131" s="1"/>
  <c r="G1312" i="131"/>
  <c r="H1845" i="131"/>
  <c r="H1844" i="131" s="1"/>
  <c r="I227" i="114" s="1"/>
  <c r="I226" i="114" s="1"/>
  <c r="G1845" i="131"/>
  <c r="H1841" i="131"/>
  <c r="G1841" i="131"/>
  <c r="I16" i="273"/>
  <c r="H16" i="273"/>
  <c r="G16" i="273"/>
  <c r="M161" i="114"/>
  <c r="L161" i="114"/>
  <c r="M32" i="114"/>
  <c r="L32" i="114"/>
  <c r="A262" i="114"/>
  <c r="E162" i="114"/>
  <c r="A162" i="114"/>
  <c r="L81" i="131"/>
  <c r="L78" i="131"/>
  <c r="L77" i="131" s="1"/>
  <c r="L76" i="131" s="1"/>
  <c r="K78" i="131"/>
  <c r="M78" i="131" s="1"/>
  <c r="L71" i="131"/>
  <c r="K71" i="131"/>
  <c r="L70" i="131"/>
  <c r="K70" i="131"/>
  <c r="M70" i="131" s="1"/>
  <c r="L69" i="131"/>
  <c r="K69" i="131"/>
  <c r="M69" i="131" s="1"/>
  <c r="L68" i="131"/>
  <c r="K68" i="131"/>
  <c r="M68" i="131" s="1"/>
  <c r="L61" i="131"/>
  <c r="K61" i="131"/>
  <c r="L60" i="131"/>
  <c r="K60" i="131"/>
  <c r="L58" i="131"/>
  <c r="K58" i="131"/>
  <c r="M58" i="131" s="1"/>
  <c r="L57" i="131"/>
  <c r="K57" i="131"/>
  <c r="M57" i="131" s="1"/>
  <c r="L55" i="131"/>
  <c r="K55" i="131"/>
  <c r="L54" i="131"/>
  <c r="K54" i="131"/>
  <c r="M54" i="131" s="1"/>
  <c r="L53" i="131"/>
  <c r="K53" i="131"/>
  <c r="L52" i="131"/>
  <c r="K52" i="131"/>
  <c r="M52" i="131" s="1"/>
  <c r="L50" i="131"/>
  <c r="K50" i="131"/>
  <c r="M50" i="131" s="1"/>
  <c r="L49" i="131"/>
  <c r="K49" i="131"/>
  <c r="M49" i="131" s="1"/>
  <c r="L48" i="131"/>
  <c r="K48" i="131"/>
  <c r="M48" i="131" s="1"/>
  <c r="L38" i="131"/>
  <c r="K38" i="131"/>
  <c r="L37" i="131"/>
  <c r="K37" i="131"/>
  <c r="L35" i="131"/>
  <c r="K35" i="131"/>
  <c r="M35" i="131" s="1"/>
  <c r="L34" i="131"/>
  <c r="K34" i="131"/>
  <c r="M34" i="131" s="1"/>
  <c r="L32" i="131"/>
  <c r="K32" i="131"/>
  <c r="M32" i="131" s="1"/>
  <c r="L31" i="131"/>
  <c r="K31" i="131"/>
  <c r="M31" i="131" s="1"/>
  <c r="L29" i="131"/>
  <c r="K29" i="131"/>
  <c r="M29" i="131" s="1"/>
  <c r="L28" i="131"/>
  <c r="K28" i="131"/>
  <c r="M28" i="131" s="1"/>
  <c r="L26" i="131"/>
  <c r="K26" i="131"/>
  <c r="M26" i="131" s="1"/>
  <c r="L25" i="131"/>
  <c r="K25" i="131"/>
  <c r="L24" i="131"/>
  <c r="K24" i="131"/>
  <c r="M24" i="131" s="1"/>
  <c r="L23" i="131"/>
  <c r="K23" i="131"/>
  <c r="M23" i="131" s="1"/>
  <c r="L22" i="131"/>
  <c r="K22" i="131"/>
  <c r="M22" i="131" s="1"/>
  <c r="L21" i="131"/>
  <c r="K21" i="131"/>
  <c r="M21" i="131" s="1"/>
  <c r="H2353" i="131"/>
  <c r="G2353" i="131"/>
  <c r="H1804" i="131"/>
  <c r="G1804" i="131"/>
  <c r="H1694" i="131"/>
  <c r="G1694" i="131"/>
  <c r="H1448" i="131"/>
  <c r="H1447" i="131" s="1"/>
  <c r="H1446" i="131" s="1"/>
  <c r="G1448" i="131"/>
  <c r="G1447" i="131" s="1"/>
  <c r="G1446" i="131" s="1"/>
  <c r="H1300" i="131"/>
  <c r="G1300" i="131"/>
  <c r="H1270" i="131"/>
  <c r="G1270" i="131"/>
  <c r="H1241" i="131"/>
  <c r="G1241" i="131"/>
  <c r="H1137" i="131"/>
  <c r="G1137" i="131"/>
  <c r="H966" i="131"/>
  <c r="G966" i="131"/>
  <c r="H953" i="131"/>
  <c r="H952" i="131" s="1"/>
  <c r="G953" i="131"/>
  <c r="H422" i="131"/>
  <c r="G422" i="131"/>
  <c r="H167" i="131"/>
  <c r="G167" i="131"/>
  <c r="H59" i="131"/>
  <c r="G59" i="131"/>
  <c r="H36" i="131"/>
  <c r="G36" i="131"/>
  <c r="E52" i="1"/>
  <c r="E51" i="1" s="1"/>
  <c r="E20" i="1"/>
  <c r="E19" i="1" s="1"/>
  <c r="E119" i="1"/>
  <c r="E118" i="1" s="1"/>
  <c r="N118" i="1" s="1"/>
  <c r="D119" i="1"/>
  <c r="D118" i="1" s="1"/>
  <c r="F223" i="1"/>
  <c r="F222" i="1" s="1"/>
  <c r="F221" i="1" s="1"/>
  <c r="F125" i="1"/>
  <c r="F53" i="1"/>
  <c r="F52" i="1" s="1"/>
  <c r="F51" i="1" s="1"/>
  <c r="D15" i="39"/>
  <c r="D14" i="39" s="1"/>
  <c r="D17" i="39"/>
  <c r="D21" i="39"/>
  <c r="D23" i="39"/>
  <c r="J918" i="114"/>
  <c r="K160" i="114"/>
  <c r="J160" i="114"/>
  <c r="I3068" i="131"/>
  <c r="J2486" i="131"/>
  <c r="J2485" i="131"/>
  <c r="J2466" i="131"/>
  <c r="J2373" i="131"/>
  <c r="J20" i="131"/>
  <c r="I20" i="131"/>
  <c r="J7" i="131"/>
  <c r="M304" i="1"/>
  <c r="E292" i="1"/>
  <c r="E291" i="1" s="1"/>
  <c r="N291" i="1" s="1"/>
  <c r="E289" i="1"/>
  <c r="E273" i="1"/>
  <c r="N273" i="1" s="1"/>
  <c r="E267" i="1"/>
  <c r="E256" i="1"/>
  <c r="E251" i="1"/>
  <c r="E249" i="1"/>
  <c r="E242" i="1"/>
  <c r="E240" i="1"/>
  <c r="E238" i="1"/>
  <c r="E234" i="1"/>
  <c r="E233" i="1" s="1"/>
  <c r="E231" i="1"/>
  <c r="E230" i="1" s="1"/>
  <c r="F230" i="1" s="1"/>
  <c r="E228" i="1"/>
  <c r="E227" i="1" s="1"/>
  <c r="E225" i="1"/>
  <c r="E222" i="1"/>
  <c r="E221" i="1" s="1"/>
  <c r="E218" i="1"/>
  <c r="E212" i="1"/>
  <c r="E211" i="1" s="1"/>
  <c r="E203" i="1"/>
  <c r="E202" i="1" s="1"/>
  <c r="E200" i="1"/>
  <c r="E197" i="1"/>
  <c r="E196" i="1" s="1"/>
  <c r="E166" i="1"/>
  <c r="E163" i="1"/>
  <c r="E113" i="1"/>
  <c r="E109" i="1"/>
  <c r="E108" i="1" s="1"/>
  <c r="E106" i="1"/>
  <c r="E105" i="1" s="1"/>
  <c r="E99" i="1"/>
  <c r="E96" i="1"/>
  <c r="E94" i="1"/>
  <c r="E92" i="1"/>
  <c r="E90" i="1"/>
  <c r="E86" i="1"/>
  <c r="E83" i="1"/>
  <c r="E82" i="1" s="1"/>
  <c r="E80" i="1"/>
  <c r="E79" i="1" s="1"/>
  <c r="E73" i="1"/>
  <c r="E72" i="1" s="1"/>
  <c r="E70" i="1"/>
  <c r="E67" i="1"/>
  <c r="E66" i="1" s="1"/>
  <c r="E64" i="1"/>
  <c r="E63" i="1" s="1"/>
  <c r="E61" i="1"/>
  <c r="E60" i="1" s="1"/>
  <c r="E58" i="1"/>
  <c r="E57" i="1" s="1"/>
  <c r="E49" i="1"/>
  <c r="E48" i="1" s="1"/>
  <c r="E46" i="1"/>
  <c r="E45" i="1" s="1"/>
  <c r="E43" i="1"/>
  <c r="E40" i="1"/>
  <c r="E39" i="1" s="1"/>
  <c r="E37" i="1"/>
  <c r="E36" i="1" s="1"/>
  <c r="E34" i="1"/>
  <c r="E33" i="1" s="1"/>
  <c r="E31" i="1"/>
  <c r="E28" i="1"/>
  <c r="E26" i="1" s="1"/>
  <c r="E25" i="1" s="1"/>
  <c r="E23" i="1"/>
  <c r="E22" i="1" s="1"/>
  <c r="E14" i="1"/>
  <c r="E12" i="1"/>
  <c r="D135" i="121"/>
  <c r="D132" i="121" s="1"/>
  <c r="D133" i="121"/>
  <c r="D87" i="121"/>
  <c r="D80" i="121"/>
  <c r="D74" i="121"/>
  <c r="D71" i="121"/>
  <c r="D69" i="121"/>
  <c r="D56" i="121"/>
  <c r="D41" i="121"/>
  <c r="D39" i="121"/>
  <c r="D37" i="121"/>
  <c r="D21" i="121"/>
  <c r="D15" i="121"/>
  <c r="H1255" i="131"/>
  <c r="L1255" i="131" s="1"/>
  <c r="G1255" i="131"/>
  <c r="G905" i="131"/>
  <c r="T909" i="131"/>
  <c r="W909" i="131"/>
  <c r="H956" i="131"/>
  <c r="G956" i="131"/>
  <c r="D222" i="1"/>
  <c r="D221" i="1" s="1"/>
  <c r="D96" i="1"/>
  <c r="P238" i="131"/>
  <c r="P241" i="131"/>
  <c r="G241" i="131"/>
  <c r="P297" i="131"/>
  <c r="P1114" i="131"/>
  <c r="H1382" i="131"/>
  <c r="G1382" i="131"/>
  <c r="P1686" i="131"/>
  <c r="P157" i="131"/>
  <c r="P22" i="131"/>
  <c r="P2348" i="131"/>
  <c r="M2" i="131"/>
  <c r="A142" i="114"/>
  <c r="A188" i="114"/>
  <c r="I189" i="114"/>
  <c r="I188" i="114" s="1"/>
  <c r="A315" i="114"/>
  <c r="A314" i="114"/>
  <c r="A311" i="114"/>
  <c r="A371" i="114"/>
  <c r="A370" i="114"/>
  <c r="A358" i="114"/>
  <c r="A335" i="114"/>
  <c r="A331" i="114"/>
  <c r="A328" i="114"/>
  <c r="H2118" i="131"/>
  <c r="H2117" i="131" s="1"/>
  <c r="I336" i="114" s="1"/>
  <c r="I335" i="114" s="1"/>
  <c r="H2112" i="131"/>
  <c r="G2118" i="131"/>
  <c r="G2117" i="131" s="1"/>
  <c r="H336" i="114" s="1"/>
  <c r="H335" i="114" s="1"/>
  <c r="G2112" i="131"/>
  <c r="G2111" i="131" s="1"/>
  <c r="A383" i="114"/>
  <c r="G1354" i="131"/>
  <c r="G1353" i="131" s="1"/>
  <c r="H384" i="114" s="1"/>
  <c r="H383" i="114" s="1"/>
  <c r="A260" i="114"/>
  <c r="A198" i="114"/>
  <c r="A228" i="114"/>
  <c r="A226" i="114"/>
  <c r="A224" i="114"/>
  <c r="A222" i="114"/>
  <c r="A220" i="114"/>
  <c r="A218" i="114"/>
  <c r="A214" i="114"/>
  <c r="A212" i="114"/>
  <c r="H1849" i="131"/>
  <c r="G1849" i="131"/>
  <c r="H1838" i="131"/>
  <c r="H1837" i="131" s="1"/>
  <c r="I223" i="114" s="1"/>
  <c r="I222" i="114" s="1"/>
  <c r="G1838" i="131"/>
  <c r="G1837" i="131" s="1"/>
  <c r="H223" i="114" s="1"/>
  <c r="H222" i="114" s="1"/>
  <c r="H1835" i="131"/>
  <c r="G1835" i="131"/>
  <c r="H1832" i="131"/>
  <c r="H1831" i="131" s="1"/>
  <c r="I219" i="114" s="1"/>
  <c r="I218" i="114" s="1"/>
  <c r="G1832" i="131"/>
  <c r="G1831" i="131" s="1"/>
  <c r="H1829" i="131"/>
  <c r="H1828" i="131" s="1"/>
  <c r="I215" i="114" s="1"/>
  <c r="I214" i="114" s="1"/>
  <c r="G1829" i="131"/>
  <c r="G1828" i="131" s="1"/>
  <c r="H215" i="114" s="1"/>
  <c r="H214" i="114" s="1"/>
  <c r="H1826" i="131"/>
  <c r="H1825" i="131" s="1"/>
  <c r="G1826" i="131"/>
  <c r="G1825" i="131" s="1"/>
  <c r="H213" i="114" s="1"/>
  <c r="H212" i="114" s="1"/>
  <c r="H2140" i="131"/>
  <c r="G2140" i="131"/>
  <c r="H1330" i="131"/>
  <c r="H1329" i="131" s="1"/>
  <c r="I287" i="114" s="1"/>
  <c r="G1329" i="131"/>
  <c r="H287" i="114" s="1"/>
  <c r="H1943" i="131"/>
  <c r="G1943" i="131"/>
  <c r="H1895" i="131"/>
  <c r="G1895" i="131"/>
  <c r="G1894" i="131" s="1"/>
  <c r="H143" i="114" s="1"/>
  <c r="H142" i="114" s="1"/>
  <c r="N36" i="114"/>
  <c r="N34" i="114"/>
  <c r="N35" i="114"/>
  <c r="H1040" i="131"/>
  <c r="G1040" i="131"/>
  <c r="G1039" i="131" s="1"/>
  <c r="G1308" i="131"/>
  <c r="H1444" i="131"/>
  <c r="G1444" i="131"/>
  <c r="H674" i="131"/>
  <c r="G674" i="131"/>
  <c r="H858" i="131"/>
  <c r="H985" i="131"/>
  <c r="H2087" i="131"/>
  <c r="H2086" i="131" s="1"/>
  <c r="G2087" i="131"/>
  <c r="G985" i="131"/>
  <c r="K985" i="131" s="1"/>
  <c r="M985" i="131" s="1"/>
  <c r="G858" i="131"/>
  <c r="D22" i="273"/>
  <c r="H821" i="131"/>
  <c r="G821" i="131"/>
  <c r="P581" i="131"/>
  <c r="H1968" i="131"/>
  <c r="H1967" i="131" s="1"/>
  <c r="G1968" i="131"/>
  <c r="D52" i="1"/>
  <c r="D51" i="1" s="1"/>
  <c r="R3068" i="131"/>
  <c r="S2486" i="131"/>
  <c r="S2485" i="131"/>
  <c r="S2466" i="131"/>
  <c r="S2373" i="131"/>
  <c r="S2364" i="131"/>
  <c r="S2363" i="131" s="1"/>
  <c r="S2362" i="131" s="1"/>
  <c r="S2361" i="131" s="1"/>
  <c r="S2360" i="131" s="1"/>
  <c r="S2359" i="131" s="1"/>
  <c r="R2364" i="131"/>
  <c r="R2363" i="131" s="1"/>
  <c r="R2362" i="131" s="1"/>
  <c r="R2361" i="131" s="1"/>
  <c r="R2360" i="131" s="1"/>
  <c r="S2356" i="131"/>
  <c r="R2356" i="131"/>
  <c r="S2346" i="131"/>
  <c r="R2346" i="131"/>
  <c r="S2337" i="131"/>
  <c r="S2336" i="131" s="1"/>
  <c r="R2337" i="131"/>
  <c r="R2336" i="131" s="1"/>
  <c r="S2334" i="131"/>
  <c r="R2334" i="131"/>
  <c r="S2332" i="131"/>
  <c r="R2332" i="131"/>
  <c r="S2330" i="131"/>
  <c r="R2330" i="131"/>
  <c r="S2328" i="131"/>
  <c r="R2328" i="131"/>
  <c r="S2322" i="131"/>
  <c r="R2322" i="131"/>
  <c r="S2320" i="131"/>
  <c r="R2320" i="131"/>
  <c r="S2314" i="131"/>
  <c r="S2313" i="131" s="1"/>
  <c r="S2312" i="131" s="1"/>
  <c r="R2314" i="131"/>
  <c r="R2313" i="131" s="1"/>
  <c r="R2312" i="131" s="1"/>
  <c r="S2310" i="131"/>
  <c r="R2310" i="131"/>
  <c r="R2309" i="131"/>
  <c r="R2308" i="131" s="1"/>
  <c r="S2308" i="131"/>
  <c r="S2305" i="131"/>
  <c r="S2303" i="131" s="1"/>
  <c r="R2305" i="131"/>
  <c r="R2304" i="131" s="1"/>
  <c r="R2303" i="131" s="1"/>
  <c r="S2304" i="131"/>
  <c r="S2301" i="131"/>
  <c r="S2300" i="131" s="1"/>
  <c r="R2301" i="131"/>
  <c r="R2300" i="131" s="1"/>
  <c r="S2298" i="131"/>
  <c r="S2297" i="131" s="1"/>
  <c r="R2298" i="131"/>
  <c r="R2297" i="131" s="1"/>
  <c r="S2293" i="131"/>
  <c r="S2292" i="131" s="1"/>
  <c r="R2293" i="131"/>
  <c r="R2292" i="131" s="1"/>
  <c r="S2286" i="131"/>
  <c r="S2285" i="131" s="1"/>
  <c r="S2284" i="131" s="1"/>
  <c r="S2283" i="131" s="1"/>
  <c r="S2282" i="131" s="1"/>
  <c r="S2447" i="131" s="1"/>
  <c r="R2286" i="131"/>
  <c r="R2285" i="131" s="1"/>
  <c r="R2284" i="131" s="1"/>
  <c r="R2283" i="131" s="1"/>
  <c r="R2282" i="131" s="1"/>
  <c r="R2447" i="131" s="1"/>
  <c r="S2280" i="131"/>
  <c r="S2279" i="131" s="1"/>
  <c r="R2280" i="131"/>
  <c r="R2279" i="131" s="1"/>
  <c r="S2277" i="131"/>
  <c r="R2277" i="131"/>
  <c r="S2275" i="131"/>
  <c r="R2275" i="131"/>
  <c r="S2273" i="131"/>
  <c r="R2273" i="131"/>
  <c r="S2271" i="131"/>
  <c r="R2271" i="131"/>
  <c r="S2269" i="131"/>
  <c r="R2269" i="131"/>
  <c r="S2259" i="131"/>
  <c r="S2258" i="131" s="1"/>
  <c r="S2248" i="131" s="1"/>
  <c r="R2259" i="131"/>
  <c r="R2258" i="131" s="1"/>
  <c r="R2248" i="131" s="1"/>
  <c r="R2243" i="131"/>
  <c r="R2241" i="131" s="1"/>
  <c r="R2240" i="131" s="1"/>
  <c r="S2241" i="131"/>
  <c r="S2240" i="131" s="1"/>
  <c r="S2238" i="131"/>
  <c r="S2237" i="131" s="1"/>
  <c r="R2238" i="131"/>
  <c r="R2237" i="131" s="1"/>
  <c r="S2235" i="131"/>
  <c r="S2234" i="131" s="1"/>
  <c r="R2235" i="131"/>
  <c r="R2234" i="131" s="1"/>
  <c r="S2232" i="131"/>
  <c r="S2231" i="131" s="1"/>
  <c r="R2232" i="131"/>
  <c r="R2231" i="131" s="1"/>
  <c r="S2229" i="131"/>
  <c r="S2228" i="131" s="1"/>
  <c r="R2229" i="131"/>
  <c r="R2228" i="131" s="1"/>
  <c r="S2221" i="131"/>
  <c r="R2221" i="131"/>
  <c r="S2214" i="131"/>
  <c r="R2214" i="131"/>
  <c r="S2208" i="131"/>
  <c r="R2208" i="131"/>
  <c r="S2206" i="131"/>
  <c r="R2206" i="131"/>
  <c r="S2204" i="131"/>
  <c r="R2204" i="131"/>
  <c r="S2202" i="131"/>
  <c r="R2202" i="131"/>
  <c r="S2200" i="131"/>
  <c r="R2200" i="131"/>
  <c r="S2198" i="131"/>
  <c r="R2198" i="131"/>
  <c r="S2196" i="131"/>
  <c r="R2196" i="131"/>
  <c r="S2193" i="131"/>
  <c r="S2192" i="131" s="1"/>
  <c r="S2191" i="131" s="1"/>
  <c r="S2190" i="131" s="1"/>
  <c r="R2193" i="131"/>
  <c r="R2192" i="131" s="1"/>
  <c r="R2191" i="131" s="1"/>
  <c r="R2190" i="131" s="1"/>
  <c r="S2188" i="131"/>
  <c r="S2187" i="131" s="1"/>
  <c r="R2188" i="131"/>
  <c r="R2187" i="131" s="1"/>
  <c r="S2185" i="131"/>
  <c r="S2184" i="131" s="1"/>
  <c r="R2185" i="131"/>
  <c r="R2184" i="131" s="1"/>
  <c r="S2182" i="131"/>
  <c r="S2181" i="131" s="1"/>
  <c r="R2182" i="131"/>
  <c r="R2181" i="131" s="1"/>
  <c r="S2178" i="131"/>
  <c r="S2177" i="131" s="1"/>
  <c r="S2176" i="131" s="1"/>
  <c r="S2175" i="131" s="1"/>
  <c r="R2178" i="131"/>
  <c r="R2177" i="131" s="1"/>
  <c r="R2176" i="131" s="1"/>
  <c r="R2175" i="131" s="1"/>
  <c r="S2171" i="131"/>
  <c r="S2170" i="131" s="1"/>
  <c r="S2169" i="131" s="1"/>
  <c r="S2168" i="131" s="1"/>
  <c r="R2171" i="131"/>
  <c r="R2170" i="131" s="1"/>
  <c r="R2169" i="131" s="1"/>
  <c r="R2168" i="131" s="1"/>
  <c r="S2166" i="131"/>
  <c r="R2166" i="131"/>
  <c r="S2164" i="131"/>
  <c r="R2164" i="131"/>
  <c r="S2155" i="131"/>
  <c r="S2154" i="131" s="1"/>
  <c r="R2155" i="131"/>
  <c r="R2154" i="131" s="1"/>
  <c r="S2152" i="131"/>
  <c r="S2151" i="131" s="1"/>
  <c r="R2152" i="131"/>
  <c r="R2151" i="131" s="1"/>
  <c r="S2149" i="131"/>
  <c r="S2148" i="131" s="1"/>
  <c r="R2149" i="131"/>
  <c r="R2148" i="131" s="1"/>
  <c r="S2143" i="131"/>
  <c r="S2142" i="131" s="1"/>
  <c r="R2143" i="131"/>
  <c r="R2142" i="131" s="1"/>
  <c r="S2134" i="131"/>
  <c r="S2133" i="131" s="1"/>
  <c r="S2103" i="131" s="1"/>
  <c r="R2134" i="131"/>
  <c r="R2133" i="131" s="1"/>
  <c r="R2103" i="131" s="1"/>
  <c r="S2100" i="131"/>
  <c r="R2100" i="131"/>
  <c r="S2096" i="131"/>
  <c r="R2096" i="131"/>
  <c r="S2092" i="131"/>
  <c r="R2092" i="131"/>
  <c r="S2090" i="131"/>
  <c r="R2090" i="131"/>
  <c r="S2083" i="131"/>
  <c r="S2082" i="131" s="1"/>
  <c r="S2081" i="131" s="1"/>
  <c r="R2083" i="131"/>
  <c r="R2082" i="131" s="1"/>
  <c r="R2081" i="131" s="1"/>
  <c r="S2079" i="131"/>
  <c r="S2078" i="131" s="1"/>
  <c r="R2079" i="131"/>
  <c r="R2078" i="131" s="1"/>
  <c r="S2076" i="131"/>
  <c r="S2075" i="131" s="1"/>
  <c r="R2076" i="131"/>
  <c r="R2075" i="131" s="1"/>
  <c r="S2073" i="131"/>
  <c r="S2072" i="131" s="1"/>
  <c r="R2073" i="131"/>
  <c r="R2072" i="131" s="1"/>
  <c r="S2069" i="131"/>
  <c r="S2068" i="131" s="1"/>
  <c r="S2067" i="131" s="1"/>
  <c r="R2069" i="131"/>
  <c r="R2068" i="131" s="1"/>
  <c r="R2067" i="131" s="1"/>
  <c r="S2057" i="131"/>
  <c r="S2056" i="131" s="1"/>
  <c r="R2057" i="131"/>
  <c r="R2056" i="131" s="1"/>
  <c r="R2050" i="131"/>
  <c r="R2048" i="131" s="1"/>
  <c r="S2048" i="131"/>
  <c r="S2044" i="131"/>
  <c r="R2044" i="131"/>
  <c r="S2040" i="131"/>
  <c r="R2040" i="131"/>
  <c r="S2033" i="131"/>
  <c r="R2033" i="131"/>
  <c r="S2031" i="131"/>
  <c r="R2031" i="131"/>
  <c r="S2029" i="131"/>
  <c r="R2029" i="131"/>
  <c r="S2026" i="131"/>
  <c r="R2026" i="131"/>
  <c r="S2017" i="131"/>
  <c r="R2017" i="131"/>
  <c r="S2014" i="131"/>
  <c r="R2014" i="131"/>
  <c r="S2012" i="131"/>
  <c r="R2012" i="131"/>
  <c r="S2010" i="131"/>
  <c r="R2010" i="131"/>
  <c r="S2008" i="131"/>
  <c r="R2008" i="131"/>
  <c r="S2004" i="131"/>
  <c r="R2004" i="131"/>
  <c r="S2000" i="131"/>
  <c r="R2000" i="131"/>
  <c r="S1998" i="131"/>
  <c r="R1998" i="131"/>
  <c r="S1996" i="131"/>
  <c r="R1996" i="131"/>
  <c r="S1994" i="131"/>
  <c r="R1994" i="131"/>
  <c r="S1991" i="131"/>
  <c r="R1991" i="131"/>
  <c r="S1988" i="131"/>
  <c r="R1988" i="131"/>
  <c r="S1983" i="131"/>
  <c r="R1983" i="131"/>
  <c r="S1972" i="131"/>
  <c r="R1972" i="131"/>
  <c r="S1938" i="131"/>
  <c r="S1937" i="131" s="1"/>
  <c r="R1938" i="131"/>
  <c r="R1937" i="131" s="1"/>
  <c r="S1935" i="131"/>
  <c r="S1934" i="131" s="1"/>
  <c r="R1935" i="131"/>
  <c r="R1934" i="131" s="1"/>
  <c r="S1932" i="131"/>
  <c r="S1931" i="131" s="1"/>
  <c r="R1932" i="131"/>
  <c r="R1931" i="131" s="1"/>
  <c r="S1929" i="131"/>
  <c r="S1928" i="131" s="1"/>
  <c r="R1929" i="131"/>
  <c r="R1928" i="131" s="1"/>
  <c r="S1926" i="131"/>
  <c r="S1925" i="131" s="1"/>
  <c r="R1926" i="131"/>
  <c r="R1925" i="131" s="1"/>
  <c r="S1923" i="131"/>
  <c r="R1923" i="131"/>
  <c r="S1920" i="131"/>
  <c r="R1920" i="131"/>
  <c r="S1917" i="131"/>
  <c r="S1916" i="131" s="1"/>
  <c r="R1917" i="131"/>
  <c r="R1916" i="131" s="1"/>
  <c r="S1905" i="131"/>
  <c r="S1904" i="131" s="1"/>
  <c r="S1903" i="131" s="1"/>
  <c r="R1905" i="131"/>
  <c r="R1904" i="131" s="1"/>
  <c r="R1903" i="131" s="1"/>
  <c r="S1901" i="131"/>
  <c r="S1900" i="131" s="1"/>
  <c r="R1901" i="131"/>
  <c r="R1900" i="131" s="1"/>
  <c r="S1898" i="131"/>
  <c r="S1897" i="131" s="1"/>
  <c r="R1898" i="131"/>
  <c r="R1897" i="131" s="1"/>
  <c r="S1892" i="131"/>
  <c r="S1891" i="131" s="1"/>
  <c r="R1892" i="131"/>
  <c r="R1891" i="131" s="1"/>
  <c r="S1887" i="131"/>
  <c r="S1886" i="131" s="1"/>
  <c r="R1887" i="131"/>
  <c r="R1886" i="131" s="1"/>
  <c r="S1875" i="131"/>
  <c r="R1875" i="131"/>
  <c r="S1873" i="131"/>
  <c r="R1873" i="131"/>
  <c r="S1867" i="131"/>
  <c r="R1867" i="131"/>
  <c r="S1865" i="131"/>
  <c r="R1865" i="131"/>
  <c r="S1862" i="131"/>
  <c r="R1862" i="131"/>
  <c r="S1859" i="131"/>
  <c r="R1859" i="131"/>
  <c r="S1855" i="131"/>
  <c r="S1854" i="131" s="1"/>
  <c r="R1855" i="131"/>
  <c r="R1854" i="131" s="1"/>
  <c r="S1823" i="131"/>
  <c r="S1822" i="131" s="1"/>
  <c r="S1821" i="131" s="1"/>
  <c r="R1823" i="131"/>
  <c r="R1822" i="131" s="1"/>
  <c r="R1821" i="131" s="1"/>
  <c r="S1817" i="131"/>
  <c r="R1817" i="131"/>
  <c r="S1815" i="131"/>
  <c r="R1815" i="131"/>
  <c r="S1807" i="131"/>
  <c r="R1807" i="131"/>
  <c r="S1795" i="131"/>
  <c r="R1795" i="131"/>
  <c r="S1792" i="131"/>
  <c r="R1792" i="131"/>
  <c r="S1789" i="131"/>
  <c r="R1789" i="131"/>
  <c r="S1787" i="131"/>
  <c r="R1787" i="131"/>
  <c r="S1783" i="131"/>
  <c r="R1783" i="131"/>
  <c r="S1781" i="131"/>
  <c r="R1781" i="131"/>
  <c r="S1772" i="131"/>
  <c r="S1771" i="131" s="1"/>
  <c r="S1770" i="131" s="1"/>
  <c r="R1772" i="131"/>
  <c r="R1771" i="131" s="1"/>
  <c r="R1770" i="131" s="1"/>
  <c r="S1765" i="131"/>
  <c r="S1764" i="131" s="1"/>
  <c r="R1765" i="131"/>
  <c r="R1764" i="131" s="1"/>
  <c r="S1762" i="131"/>
  <c r="R1762" i="131"/>
  <c r="S1760" i="131"/>
  <c r="R1760" i="131"/>
  <c r="S1758" i="131"/>
  <c r="R1758" i="131"/>
  <c r="S1755" i="131"/>
  <c r="R1755" i="131"/>
  <c r="S1753" i="131"/>
  <c r="R1753" i="131"/>
  <c r="S1751" i="131"/>
  <c r="R1751" i="131"/>
  <c r="S1749" i="131"/>
  <c r="R1749" i="131"/>
  <c r="S1747" i="131"/>
  <c r="R1747" i="131"/>
  <c r="S1745" i="131"/>
  <c r="R1745" i="131"/>
  <c r="S1743" i="131"/>
  <c r="R1743" i="131"/>
  <c r="S1741" i="131"/>
  <c r="R1741" i="131"/>
  <c r="S1735" i="131"/>
  <c r="S1734" i="131" s="1"/>
  <c r="S1733" i="131" s="1"/>
  <c r="S1732" i="131" s="1"/>
  <c r="S1731" i="131" s="1"/>
  <c r="S2459" i="131" s="1"/>
  <c r="R1735" i="131"/>
  <c r="R1734" i="131" s="1"/>
  <c r="R1733" i="131" s="1"/>
  <c r="R1732" i="131" s="1"/>
  <c r="R1731" i="131" s="1"/>
  <c r="R2459" i="131" s="1"/>
  <c r="S1729" i="131"/>
  <c r="S1728" i="131" s="1"/>
  <c r="S1727" i="131" s="1"/>
  <c r="S1726" i="131" s="1"/>
  <c r="S1725" i="131" s="1"/>
  <c r="S2458" i="131" s="1"/>
  <c r="R1729" i="131"/>
  <c r="R1728" i="131" s="1"/>
  <c r="R1727" i="131" s="1"/>
  <c r="R1726" i="131" s="1"/>
  <c r="R1725" i="131" s="1"/>
  <c r="R2458" i="131" s="1"/>
  <c r="S1722" i="131"/>
  <c r="S1721" i="131" s="1"/>
  <c r="S1720" i="131" s="1"/>
  <c r="S1719" i="131" s="1"/>
  <c r="S1718" i="131" s="1"/>
  <c r="R1722" i="131"/>
  <c r="R1721" i="131" s="1"/>
  <c r="R1720" i="131" s="1"/>
  <c r="R1719" i="131" s="1"/>
  <c r="R1718" i="131" s="1"/>
  <c r="R2456" i="131" s="1"/>
  <c r="R2457" i="131" s="1"/>
  <c r="S1715" i="131"/>
  <c r="R1715" i="131"/>
  <c r="S1713" i="131"/>
  <c r="R1713" i="131"/>
  <c r="S1711" i="131"/>
  <c r="R1711" i="131"/>
  <c r="S1697" i="131"/>
  <c r="R1697" i="131"/>
  <c r="S1686" i="131"/>
  <c r="R1686" i="131"/>
  <c r="S1683" i="131"/>
  <c r="R1683" i="131"/>
  <c r="S1677" i="131"/>
  <c r="R1677" i="131"/>
  <c r="S1675" i="131"/>
  <c r="R1675" i="131"/>
  <c r="S1667" i="131"/>
  <c r="R1667" i="131"/>
  <c r="S1665" i="131"/>
  <c r="R1665" i="131"/>
  <c r="S1663" i="131"/>
  <c r="R1663" i="131"/>
  <c r="S1661" i="131"/>
  <c r="R1661" i="131"/>
  <c r="S1659" i="131"/>
  <c r="R1659" i="131"/>
  <c r="S1657" i="131"/>
  <c r="R1657" i="131"/>
  <c r="S1655" i="131"/>
  <c r="R1655" i="131"/>
  <c r="S1653" i="131"/>
  <c r="R1653" i="131"/>
  <c r="S1651" i="131"/>
  <c r="R1651" i="131"/>
  <c r="S1649" i="131"/>
  <c r="R1649" i="131"/>
  <c r="S1646" i="131"/>
  <c r="S1645" i="131" s="1"/>
  <c r="S1644" i="131" s="1"/>
  <c r="R1646" i="131"/>
  <c r="R1645" i="131" s="1"/>
  <c r="R1644" i="131" s="1"/>
  <c r="S1642" i="131"/>
  <c r="S1641" i="131" s="1"/>
  <c r="S1640" i="131" s="1"/>
  <c r="R1642" i="131"/>
  <c r="R1641" i="131" s="1"/>
  <c r="R1640" i="131" s="1"/>
  <c r="S1638" i="131"/>
  <c r="S1637" i="131" s="1"/>
  <c r="R1638" i="131"/>
  <c r="R1637" i="131" s="1"/>
  <c r="S1635" i="131"/>
  <c r="S1634" i="131" s="1"/>
  <c r="R1635" i="131"/>
  <c r="R1634" i="131" s="1"/>
  <c r="S1632" i="131"/>
  <c r="R1632" i="131"/>
  <c r="S1630" i="131"/>
  <c r="R1630" i="131"/>
  <c r="S1625" i="131"/>
  <c r="S1624" i="131" s="1"/>
  <c r="R1625" i="131"/>
  <c r="R1624" i="131" s="1"/>
  <c r="S1622" i="131"/>
  <c r="R1622" i="131"/>
  <c r="S1620" i="131"/>
  <c r="R1620" i="131"/>
  <c r="S1614" i="131"/>
  <c r="R1614" i="131"/>
  <c r="S1612" i="131"/>
  <c r="R1612" i="131"/>
  <c r="S1610" i="131"/>
  <c r="R1610" i="131"/>
  <c r="S1605" i="131"/>
  <c r="R1605" i="131"/>
  <c r="S1603" i="131"/>
  <c r="R1603" i="131"/>
  <c r="S1601" i="131"/>
  <c r="R1601" i="131"/>
  <c r="S1599" i="131"/>
  <c r="R1599" i="131"/>
  <c r="S1597" i="131"/>
  <c r="R1597" i="131"/>
  <c r="S1594" i="131"/>
  <c r="R1594" i="131"/>
  <c r="S1592" i="131"/>
  <c r="R1592" i="131"/>
  <c r="S1590" i="131"/>
  <c r="R1590" i="131"/>
  <c r="S1587" i="131"/>
  <c r="R1587" i="131"/>
  <c r="S1576" i="131"/>
  <c r="R1576" i="131"/>
  <c r="S1570" i="131"/>
  <c r="R1570" i="131"/>
  <c r="S1564" i="131"/>
  <c r="R1564" i="131"/>
  <c r="S1560" i="131"/>
  <c r="R1560" i="131"/>
  <c r="S1558" i="131"/>
  <c r="R1558" i="131"/>
  <c r="R1553" i="131" s="1"/>
  <c r="S1554" i="131"/>
  <c r="R1554" i="131"/>
  <c r="S1547" i="131"/>
  <c r="R1547" i="131"/>
  <c r="S1545" i="131"/>
  <c r="R1545" i="131"/>
  <c r="S1543" i="131"/>
  <c r="R1543" i="131"/>
  <c r="S1541" i="131"/>
  <c r="R1541" i="131"/>
  <c r="S1539" i="131"/>
  <c r="R1539" i="131"/>
  <c r="R1538" i="131" s="1"/>
  <c r="R1537" i="131" s="1"/>
  <c r="R1536" i="131" s="1"/>
  <c r="S1533" i="131"/>
  <c r="S1532" i="131" s="1"/>
  <c r="S1531" i="131" s="1"/>
  <c r="S2445" i="131" s="1"/>
  <c r="R1533" i="131"/>
  <c r="R1532" i="131" s="1"/>
  <c r="R1531" i="131" s="1"/>
  <c r="R2445" i="131" s="1"/>
  <c r="S1528" i="131"/>
  <c r="S1527" i="131" s="1"/>
  <c r="R1528" i="131"/>
  <c r="R1527" i="131" s="1"/>
  <c r="S1525" i="131"/>
  <c r="S1524" i="131" s="1"/>
  <c r="S1523" i="131" s="1"/>
  <c r="S2389" i="131" s="1"/>
  <c r="R1525" i="131"/>
  <c r="R1524" i="131" s="1"/>
  <c r="R1523" i="131" s="1"/>
  <c r="R2389" i="131" s="1"/>
  <c r="S1519" i="131"/>
  <c r="R1519" i="131"/>
  <c r="S1517" i="131"/>
  <c r="R1517" i="131"/>
  <c r="S1511" i="131"/>
  <c r="S1510" i="131" s="1"/>
  <c r="S1509" i="131" s="1"/>
  <c r="S1508" i="131" s="1"/>
  <c r="S1507" i="131" s="1"/>
  <c r="R1511" i="131"/>
  <c r="R1510" i="131" s="1"/>
  <c r="R1509" i="131" s="1"/>
  <c r="R1508" i="131" s="1"/>
  <c r="R1507" i="131" s="1"/>
  <c r="S1505" i="131"/>
  <c r="R1505" i="131"/>
  <c r="S1503" i="131"/>
  <c r="R1503" i="131"/>
  <c r="S1495" i="131"/>
  <c r="R1495" i="131"/>
  <c r="S1493" i="131"/>
  <c r="R1493" i="131"/>
  <c r="S1488" i="131"/>
  <c r="R1488" i="131"/>
  <c r="S1486" i="131"/>
  <c r="R1486" i="131"/>
  <c r="S1480" i="131"/>
  <c r="S1479" i="131" s="1"/>
  <c r="S1478" i="131" s="1"/>
  <c r="R1480" i="131"/>
  <c r="R1479" i="131" s="1"/>
  <c r="R1478" i="131" s="1"/>
  <c r="S1476" i="131"/>
  <c r="R1476" i="131"/>
  <c r="S1474" i="131"/>
  <c r="R1474" i="131"/>
  <c r="S1469" i="131"/>
  <c r="R1469" i="131"/>
  <c r="S1466" i="131"/>
  <c r="R1466" i="131"/>
  <c r="S1461" i="131"/>
  <c r="R1461" i="131"/>
  <c r="S1459" i="131"/>
  <c r="R1459" i="131"/>
  <c r="S1457" i="131"/>
  <c r="R1457" i="131"/>
  <c r="S1455" i="131"/>
  <c r="R1455" i="131"/>
  <c r="S1453" i="131"/>
  <c r="R1453" i="131"/>
  <c r="S1451" i="131"/>
  <c r="R1451" i="131"/>
  <c r="S1441" i="131"/>
  <c r="S1440" i="131" s="1"/>
  <c r="R1441" i="131"/>
  <c r="R1440" i="131" s="1"/>
  <c r="S1438" i="131"/>
  <c r="S1437" i="131" s="1"/>
  <c r="R1438" i="131"/>
  <c r="R1437" i="131" s="1"/>
  <c r="S1435" i="131"/>
  <c r="S1434" i="131" s="1"/>
  <c r="R1435" i="131"/>
  <c r="R1434" i="131" s="1"/>
  <c r="S1429" i="131"/>
  <c r="S1425" i="131" s="1"/>
  <c r="S1424" i="131" s="1"/>
  <c r="R1429" i="131"/>
  <c r="R1425" i="131" s="1"/>
  <c r="R1424" i="131" s="1"/>
  <c r="S1417" i="131"/>
  <c r="S1416" i="131" s="1"/>
  <c r="R1417" i="131"/>
  <c r="R1416" i="131" s="1"/>
  <c r="S1414" i="131"/>
  <c r="S1413" i="131" s="1"/>
  <c r="S1412" i="131" s="1"/>
  <c r="S1411" i="131" s="1"/>
  <c r="R1414" i="131"/>
  <c r="R1413" i="131" s="1"/>
  <c r="R1412" i="131" s="1"/>
  <c r="R1411" i="131" s="1"/>
  <c r="S1407" i="131"/>
  <c r="R1407" i="131"/>
  <c r="S1405" i="131"/>
  <c r="R1405" i="131"/>
  <c r="S1403" i="131"/>
  <c r="R1403" i="131"/>
  <c r="S1401" i="131"/>
  <c r="R1401" i="131"/>
  <c r="S1397" i="131"/>
  <c r="R1397" i="131"/>
  <c r="S1394" i="131"/>
  <c r="R1394" i="131"/>
  <c r="S1390" i="131"/>
  <c r="R1390" i="131"/>
  <c r="S1388" i="131"/>
  <c r="R1388" i="131"/>
  <c r="S1384" i="131"/>
  <c r="R1384" i="131"/>
  <c r="S1380" i="131"/>
  <c r="R1380" i="131"/>
  <c r="S1377" i="131"/>
  <c r="R1377" i="131"/>
  <c r="S1375" i="131"/>
  <c r="R1375" i="131"/>
  <c r="S1371" i="131"/>
  <c r="R1371" i="131"/>
  <c r="S1365" i="131"/>
  <c r="R1365" i="131"/>
  <c r="S1363" i="131"/>
  <c r="R1363" i="131"/>
  <c r="R1360" i="131"/>
  <c r="S1350" i="131"/>
  <c r="S1349" i="131" s="1"/>
  <c r="S1348" i="131" s="1"/>
  <c r="S2400" i="131" s="1"/>
  <c r="R1350" i="131"/>
  <c r="R1349" i="131" s="1"/>
  <c r="R1348" i="131" s="1"/>
  <c r="R2400" i="131" s="1"/>
  <c r="S1346" i="131"/>
  <c r="R1346" i="131"/>
  <c r="R1344" i="131"/>
  <c r="R1343" i="131" s="1"/>
  <c r="S1343" i="131"/>
  <c r="R1341" i="131"/>
  <c r="R1340" i="131" s="1"/>
  <c r="R1339" i="131" s="1"/>
  <c r="S1340" i="131"/>
  <c r="S1339" i="131" s="1"/>
  <c r="S1337" i="131"/>
  <c r="S1336" i="131" s="1"/>
  <c r="R1337" i="131"/>
  <c r="R1336" i="131" s="1"/>
  <c r="S1334" i="131"/>
  <c r="S1333" i="131" s="1"/>
  <c r="R1334" i="131"/>
  <c r="R1333" i="131" s="1"/>
  <c r="S1330" i="131"/>
  <c r="S1329" i="131" s="1"/>
  <c r="R1330" i="131"/>
  <c r="R1329" i="131" s="1"/>
  <c r="S1327" i="131"/>
  <c r="S1326" i="131" s="1"/>
  <c r="R1327" i="131"/>
  <c r="R1326" i="131" s="1"/>
  <c r="S1318" i="131"/>
  <c r="S1317" i="131" s="1"/>
  <c r="R1318" i="131"/>
  <c r="R1317" i="131" s="1"/>
  <c r="S1312" i="131"/>
  <c r="S1311" i="131" s="1"/>
  <c r="S1306" i="131" s="1"/>
  <c r="R1312" i="131"/>
  <c r="R1311" i="131" s="1"/>
  <c r="R1308" i="131"/>
  <c r="R1307" i="131" s="1"/>
  <c r="S1304" i="131"/>
  <c r="S1303" i="131" s="1"/>
  <c r="R1304" i="131"/>
  <c r="R1303" i="131" s="1"/>
  <c r="S1300" i="131"/>
  <c r="S1299" i="131" s="1"/>
  <c r="R1300" i="131"/>
  <c r="R1299" i="131" s="1"/>
  <c r="S1297" i="131"/>
  <c r="S1296" i="131" s="1"/>
  <c r="R1297" i="131"/>
  <c r="R1296" i="131" s="1"/>
  <c r="S1294" i="131"/>
  <c r="S1293" i="131" s="1"/>
  <c r="R1294" i="131"/>
  <c r="R1293" i="131" s="1"/>
  <c r="S1291" i="131"/>
  <c r="S1290" i="131" s="1"/>
  <c r="R1291" i="131"/>
  <c r="R1290" i="131" s="1"/>
  <c r="R1289" i="131" s="1"/>
  <c r="R2378" i="131" s="1"/>
  <c r="S1286" i="131"/>
  <c r="R1286" i="131"/>
  <c r="S1284" i="131"/>
  <c r="R1284" i="131"/>
  <c r="R1283" i="131" s="1"/>
  <c r="R1282" i="131" s="1"/>
  <c r="R2412" i="131" s="1"/>
  <c r="S1280" i="131"/>
  <c r="S1279" i="131" s="1"/>
  <c r="S1278" i="131" s="1"/>
  <c r="S2410" i="131" s="1"/>
  <c r="R1280" i="131"/>
  <c r="R1279" i="131" s="1"/>
  <c r="R1278" i="131" s="1"/>
  <c r="R2410" i="131" s="1"/>
  <c r="S1273" i="131"/>
  <c r="R1273" i="131"/>
  <c r="S1260" i="131"/>
  <c r="R1260" i="131"/>
  <c r="S1257" i="131"/>
  <c r="R1257" i="131"/>
  <c r="S1252" i="131"/>
  <c r="R1252" i="131"/>
  <c r="S1244" i="131"/>
  <c r="R1244" i="131"/>
  <c r="S1238" i="131"/>
  <c r="R1238" i="131"/>
  <c r="S1229" i="131"/>
  <c r="R1229" i="131"/>
  <c r="S1226" i="131"/>
  <c r="R1226" i="131"/>
  <c r="S1224" i="131"/>
  <c r="S1223" i="131" s="1"/>
  <c r="R1224" i="131"/>
  <c r="R1223" i="131" s="1"/>
  <c r="S1218" i="131"/>
  <c r="R1218" i="131"/>
  <c r="S1216" i="131"/>
  <c r="R1216" i="131"/>
  <c r="S1214" i="131"/>
  <c r="R1214" i="131"/>
  <c r="S1212" i="131"/>
  <c r="R1212" i="131"/>
  <c r="S1210" i="131"/>
  <c r="R1210" i="131"/>
  <c r="S1208" i="131"/>
  <c r="R1208" i="131"/>
  <c r="S1205" i="131"/>
  <c r="R1205" i="131"/>
  <c r="S1203" i="131"/>
  <c r="R1203" i="131"/>
  <c r="S1194" i="131"/>
  <c r="S1193" i="131" s="1"/>
  <c r="S1192" i="131" s="1"/>
  <c r="R1194" i="131"/>
  <c r="R1193" i="131" s="1"/>
  <c r="R1192" i="131" s="1"/>
  <c r="S1190" i="131"/>
  <c r="S1189" i="131" s="1"/>
  <c r="R1190" i="131"/>
  <c r="R1189" i="131" s="1"/>
  <c r="S1187" i="131"/>
  <c r="S1186" i="131" s="1"/>
  <c r="R1187" i="131"/>
  <c r="R1186" i="131" s="1"/>
  <c r="S1183" i="131"/>
  <c r="S1182" i="131" s="1"/>
  <c r="R1183" i="131"/>
  <c r="R1182" i="131" s="1"/>
  <c r="S1180" i="131"/>
  <c r="S1179" i="131" s="1"/>
  <c r="R1180" i="131"/>
  <c r="R1179" i="131" s="1"/>
  <c r="R1178" i="131"/>
  <c r="R1177" i="131" s="1"/>
  <c r="R1176" i="131" s="1"/>
  <c r="S1177" i="131"/>
  <c r="S1176" i="131" s="1"/>
  <c r="S1173" i="131"/>
  <c r="S1172" i="131" s="1"/>
  <c r="S1171" i="131" s="1"/>
  <c r="R1173" i="131"/>
  <c r="R1172" i="131" s="1"/>
  <c r="R1171" i="131" s="1"/>
  <c r="S1169" i="131"/>
  <c r="S1168" i="131" s="1"/>
  <c r="R1169" i="131"/>
  <c r="R1168" i="131" s="1"/>
  <c r="S1166" i="131"/>
  <c r="R1166" i="131"/>
  <c r="S1164" i="131"/>
  <c r="R1164" i="131"/>
  <c r="S1158" i="131"/>
  <c r="S1157" i="131" s="1"/>
  <c r="R1158" i="131"/>
  <c r="R1157" i="131" s="1"/>
  <c r="S1155" i="131"/>
  <c r="R1155" i="131"/>
  <c r="S1153" i="131"/>
  <c r="R1153" i="131"/>
  <c r="S1149" i="131"/>
  <c r="R1149" i="131"/>
  <c r="S1143" i="131"/>
  <c r="R1143" i="131"/>
  <c r="S1137" i="131"/>
  <c r="R1137" i="131"/>
  <c r="S1134" i="131"/>
  <c r="R1134" i="131"/>
  <c r="S1128" i="131"/>
  <c r="R1128" i="131"/>
  <c r="S1125" i="131"/>
  <c r="R1125" i="131"/>
  <c r="S1122" i="131"/>
  <c r="R1122" i="131"/>
  <c r="S1112" i="131"/>
  <c r="R1112" i="131"/>
  <c r="S1109" i="131"/>
  <c r="R1109" i="131"/>
  <c r="S1105" i="131"/>
  <c r="S1104" i="131" s="1"/>
  <c r="S1103" i="131" s="1"/>
  <c r="R1105" i="131"/>
  <c r="R1104" i="131" s="1"/>
  <c r="R1103" i="131" s="1"/>
  <c r="S1089" i="131"/>
  <c r="R1089" i="131"/>
  <c r="S1085" i="131"/>
  <c r="R1085" i="131"/>
  <c r="S1080" i="131"/>
  <c r="R1080" i="131"/>
  <c r="S1077" i="131"/>
  <c r="R1077" i="131"/>
  <c r="S1070" i="131"/>
  <c r="R1070" i="131"/>
  <c r="S1067" i="131"/>
  <c r="R1067" i="131"/>
  <c r="S1061" i="131"/>
  <c r="R1061" i="131"/>
  <c r="S1059" i="131"/>
  <c r="R1059" i="131"/>
  <c r="S1049" i="131"/>
  <c r="S1048" i="131" s="1"/>
  <c r="R1049" i="131"/>
  <c r="R1048" i="131" s="1"/>
  <c r="S1046" i="131"/>
  <c r="R1046" i="131"/>
  <c r="S1044" i="131"/>
  <c r="R1044" i="131"/>
  <c r="S1040" i="131"/>
  <c r="S1039" i="131" s="1"/>
  <c r="R1040" i="131"/>
  <c r="R1039" i="131" s="1"/>
  <c r="S1036" i="131"/>
  <c r="S1035" i="131" s="1"/>
  <c r="S1034" i="131" s="1"/>
  <c r="R1036" i="131"/>
  <c r="R1035" i="131" s="1"/>
  <c r="R1034" i="131" s="1"/>
  <c r="S1032" i="131"/>
  <c r="S1031" i="131" s="1"/>
  <c r="R1032" i="131"/>
  <c r="R1031" i="131" s="1"/>
  <c r="S1028" i="131"/>
  <c r="R1028" i="131"/>
  <c r="S1025" i="131"/>
  <c r="R1025" i="131"/>
  <c r="S1022" i="131"/>
  <c r="R1022" i="131"/>
  <c r="S1019" i="131"/>
  <c r="R1019" i="131"/>
  <c r="S1012" i="131"/>
  <c r="R1012" i="131"/>
  <c r="S1010" i="131"/>
  <c r="R1010" i="131"/>
  <c r="S1007" i="131"/>
  <c r="R1007" i="131"/>
  <c r="S1004" i="131"/>
  <c r="R1004" i="131"/>
  <c r="S1001" i="131"/>
  <c r="R1001" i="131"/>
  <c r="S998" i="131"/>
  <c r="R998" i="131"/>
  <c r="S996" i="131"/>
  <c r="R996" i="131"/>
  <c r="S993" i="131"/>
  <c r="R993" i="131"/>
  <c r="S991" i="131"/>
  <c r="R991" i="131"/>
  <c r="S988" i="131"/>
  <c r="R988" i="131"/>
  <c r="S985" i="131"/>
  <c r="R985" i="131"/>
  <c r="S980" i="131"/>
  <c r="S979" i="131" s="1"/>
  <c r="S978" i="131" s="1"/>
  <c r="R980" i="131"/>
  <c r="R979" i="131" s="1"/>
  <c r="R978" i="131" s="1"/>
  <c r="S976" i="131"/>
  <c r="S975" i="131" s="1"/>
  <c r="S974" i="131" s="1"/>
  <c r="R976" i="131"/>
  <c r="R975" i="131" s="1"/>
  <c r="R974" i="131" s="1"/>
  <c r="S972" i="131"/>
  <c r="S971" i="131" s="1"/>
  <c r="R972" i="131"/>
  <c r="R971" i="131" s="1"/>
  <c r="S969" i="131"/>
  <c r="R969" i="131"/>
  <c r="S966" i="131"/>
  <c r="R966" i="131"/>
  <c r="S961" i="131"/>
  <c r="S960" i="131" s="1"/>
  <c r="S959" i="131" s="1"/>
  <c r="R961" i="131"/>
  <c r="R960" i="131" s="1"/>
  <c r="R959" i="131" s="1"/>
  <c r="S956" i="131"/>
  <c r="S955" i="131" s="1"/>
  <c r="R956" i="131"/>
  <c r="R955" i="131" s="1"/>
  <c r="S948" i="131"/>
  <c r="R948" i="131"/>
  <c r="S946" i="131"/>
  <c r="R946" i="131"/>
  <c r="S943" i="131"/>
  <c r="R943" i="131"/>
  <c r="S940" i="131"/>
  <c r="R940" i="131"/>
  <c r="S937" i="131"/>
  <c r="R937" i="131"/>
  <c r="S934" i="131"/>
  <c r="R934" i="131"/>
  <c r="S931" i="131"/>
  <c r="R931" i="131"/>
  <c r="S928" i="131"/>
  <c r="R928" i="131"/>
  <c r="S922" i="131"/>
  <c r="R922" i="131"/>
  <c r="S919" i="131"/>
  <c r="R919" i="131"/>
  <c r="S916" i="131"/>
  <c r="R916" i="131"/>
  <c r="S913" i="131"/>
  <c r="R913" i="131"/>
  <c r="S910" i="131"/>
  <c r="R910" i="131"/>
  <c r="S905" i="131"/>
  <c r="R905" i="131"/>
  <c r="S900" i="131"/>
  <c r="S899" i="131" s="1"/>
  <c r="S898" i="131" s="1"/>
  <c r="R900" i="131"/>
  <c r="R899" i="131" s="1"/>
  <c r="R898" i="131" s="1"/>
  <c r="S895" i="131"/>
  <c r="R895" i="131"/>
  <c r="S893" i="131"/>
  <c r="R893" i="131"/>
  <c r="S891" i="131"/>
  <c r="R891" i="131"/>
  <c r="S889" i="131"/>
  <c r="R889" i="131"/>
  <c r="S887" i="131"/>
  <c r="R887" i="131"/>
  <c r="S882" i="131"/>
  <c r="R882" i="131"/>
  <c r="S879" i="131"/>
  <c r="S877" i="131" s="1"/>
  <c r="R879" i="131"/>
  <c r="S875" i="131"/>
  <c r="R875" i="131"/>
  <c r="S873" i="131"/>
  <c r="R873" i="131"/>
  <c r="S871" i="131"/>
  <c r="R871" i="131"/>
  <c r="S868" i="131"/>
  <c r="R868" i="131"/>
  <c r="S864" i="131"/>
  <c r="R864" i="131"/>
  <c r="S861" i="131"/>
  <c r="R861" i="131"/>
  <c r="S858" i="131"/>
  <c r="R858" i="131"/>
  <c r="R857" i="131" s="1"/>
  <c r="R856" i="131" s="1"/>
  <c r="S849" i="131"/>
  <c r="S848" i="131" s="1"/>
  <c r="S847" i="131" s="1"/>
  <c r="R849" i="131"/>
  <c r="R848" i="131" s="1"/>
  <c r="R847" i="131" s="1"/>
  <c r="S841" i="131"/>
  <c r="R841" i="131"/>
  <c r="S839" i="131"/>
  <c r="R839" i="131"/>
  <c r="S836" i="131"/>
  <c r="R836" i="131"/>
  <c r="S833" i="131"/>
  <c r="R833" i="131"/>
  <c r="S830" i="131"/>
  <c r="R830" i="131"/>
  <c r="S827" i="131"/>
  <c r="R827" i="131"/>
  <c r="S818" i="131"/>
  <c r="R818" i="131"/>
  <c r="S813" i="131"/>
  <c r="R813" i="131"/>
  <c r="S808" i="131"/>
  <c r="S807" i="131" s="1"/>
  <c r="S806" i="131" s="1"/>
  <c r="R808" i="131"/>
  <c r="R807" i="131" s="1"/>
  <c r="R806" i="131" s="1"/>
  <c r="S801" i="131"/>
  <c r="R801" i="131"/>
  <c r="S799" i="131"/>
  <c r="R799" i="131"/>
  <c r="S797" i="131"/>
  <c r="R797" i="131"/>
  <c r="S795" i="131"/>
  <c r="S794" i="131" s="1"/>
  <c r="R795" i="131"/>
  <c r="R794" i="131" s="1"/>
  <c r="S792" i="131"/>
  <c r="R792" i="131"/>
  <c r="S789" i="131"/>
  <c r="S788" i="131" s="1"/>
  <c r="S787" i="131" s="1"/>
  <c r="R789" i="131"/>
  <c r="R788" i="131" s="1"/>
  <c r="R787" i="131" s="1"/>
  <c r="S785" i="131"/>
  <c r="R785" i="131"/>
  <c r="S783" i="131"/>
  <c r="R783" i="131"/>
  <c r="R780" i="131" s="1"/>
  <c r="S781" i="131"/>
  <c r="R781" i="131"/>
  <c r="S778" i="131"/>
  <c r="S777" i="131" s="1"/>
  <c r="R778" i="131"/>
  <c r="R777" i="131" s="1"/>
  <c r="S774" i="131"/>
  <c r="R774" i="131"/>
  <c r="S772" i="131"/>
  <c r="R772" i="131"/>
  <c r="S770" i="131"/>
  <c r="R770" i="131"/>
  <c r="S766" i="131"/>
  <c r="S765" i="131" s="1"/>
  <c r="R766" i="131"/>
  <c r="R765" i="131" s="1"/>
  <c r="R764" i="131"/>
  <c r="R2466" i="131" s="1"/>
  <c r="S763" i="131"/>
  <c r="S762" i="131" s="1"/>
  <c r="S760" i="131"/>
  <c r="S759" i="131" s="1"/>
  <c r="R760" i="131"/>
  <c r="R759" i="131" s="1"/>
  <c r="S756" i="131"/>
  <c r="S755" i="131" s="1"/>
  <c r="S754" i="131" s="1"/>
  <c r="R756" i="131"/>
  <c r="R755" i="131" s="1"/>
  <c r="R754" i="131" s="1"/>
  <c r="S752" i="131"/>
  <c r="R752" i="131"/>
  <c r="S750" i="131"/>
  <c r="R750" i="131"/>
  <c r="S741" i="131"/>
  <c r="S740" i="131" s="1"/>
  <c r="S739" i="131" s="1"/>
  <c r="S738" i="131" s="1"/>
  <c r="R741" i="131"/>
  <c r="R740" i="131" s="1"/>
  <c r="R739" i="131" s="1"/>
  <c r="R738" i="131" s="1"/>
  <c r="S736" i="131"/>
  <c r="R736" i="131"/>
  <c r="S734" i="131"/>
  <c r="R734" i="131"/>
  <c r="S732" i="131"/>
  <c r="R732" i="131"/>
  <c r="S730" i="131"/>
  <c r="R730" i="131"/>
  <c r="S728" i="131"/>
  <c r="R728" i="131"/>
  <c r="S726" i="131"/>
  <c r="R726" i="131"/>
  <c r="S723" i="131"/>
  <c r="R723" i="131"/>
  <c r="S721" i="131"/>
  <c r="R721" i="131"/>
  <c r="S718" i="131"/>
  <c r="S717" i="131" s="1"/>
  <c r="S716" i="131" s="1"/>
  <c r="R718" i="131"/>
  <c r="R717" i="131" s="1"/>
  <c r="R716" i="131" s="1"/>
  <c r="S706" i="131"/>
  <c r="R706" i="131"/>
  <c r="S703" i="131"/>
  <c r="R703" i="131"/>
  <c r="S697" i="131"/>
  <c r="R697" i="131"/>
  <c r="S693" i="131"/>
  <c r="S692" i="131" s="1"/>
  <c r="S691" i="131" s="1"/>
  <c r="R693" i="131"/>
  <c r="R692" i="131" s="1"/>
  <c r="R691" i="131" s="1"/>
  <c r="S687" i="131"/>
  <c r="R687" i="131"/>
  <c r="S685" i="131"/>
  <c r="R685" i="131"/>
  <c r="S682" i="131"/>
  <c r="R682" i="131"/>
  <c r="S674" i="131"/>
  <c r="S673" i="131" s="1"/>
  <c r="S672" i="131" s="1"/>
  <c r="R674" i="131"/>
  <c r="R673" i="131" s="1"/>
  <c r="R672" i="131" s="1"/>
  <c r="S670" i="131"/>
  <c r="S669" i="131" s="1"/>
  <c r="S668" i="131" s="1"/>
  <c r="R670" i="131"/>
  <c r="R669" i="131" s="1"/>
  <c r="R668" i="131" s="1"/>
  <c r="S666" i="131"/>
  <c r="S665" i="131" s="1"/>
  <c r="R666" i="131"/>
  <c r="R665" i="131" s="1"/>
  <c r="S663" i="131"/>
  <c r="R663" i="131"/>
  <c r="S661" i="131"/>
  <c r="R661" i="131"/>
  <c r="S659" i="131"/>
  <c r="R659" i="131"/>
  <c r="S656" i="131"/>
  <c r="S655" i="131" s="1"/>
  <c r="R656" i="131"/>
  <c r="R655" i="131" s="1"/>
  <c r="S653" i="131"/>
  <c r="S652" i="131" s="1"/>
  <c r="R653" i="131"/>
  <c r="R652" i="131" s="1"/>
  <c r="S647" i="131"/>
  <c r="S646" i="131" s="1"/>
  <c r="S645" i="131" s="1"/>
  <c r="R647" i="131"/>
  <c r="R646" i="131" s="1"/>
  <c r="R645" i="131" s="1"/>
  <c r="S643" i="131"/>
  <c r="S642" i="131" s="1"/>
  <c r="R643" i="131"/>
  <c r="R642" i="131" s="1"/>
  <c r="S640" i="131"/>
  <c r="S639" i="131" s="1"/>
  <c r="R640" i="131"/>
  <c r="R639" i="131" s="1"/>
  <c r="S637" i="131"/>
  <c r="S636" i="131" s="1"/>
  <c r="R637" i="131"/>
  <c r="R636" i="131" s="1"/>
  <c r="S634" i="131"/>
  <c r="R634" i="131"/>
  <c r="S632" i="131"/>
  <c r="R632" i="131"/>
  <c r="S628" i="131"/>
  <c r="R628" i="131"/>
  <c r="S626" i="131"/>
  <c r="R626" i="131"/>
  <c r="S622" i="131"/>
  <c r="S621" i="131" s="1"/>
  <c r="R622" i="131"/>
  <c r="R621" i="131" s="1"/>
  <c r="S616" i="131"/>
  <c r="R616" i="131"/>
  <c r="S613" i="131"/>
  <c r="R613" i="131"/>
  <c r="S608" i="131"/>
  <c r="S607" i="131" s="1"/>
  <c r="R608" i="131"/>
  <c r="R607" i="131" s="1"/>
  <c r="S605" i="131"/>
  <c r="R605" i="131"/>
  <c r="S603" i="131"/>
  <c r="R603" i="131"/>
  <c r="S600" i="131"/>
  <c r="R600" i="131"/>
  <c r="S598" i="131"/>
  <c r="R598" i="131"/>
  <c r="S596" i="131"/>
  <c r="R596" i="131"/>
  <c r="S594" i="131"/>
  <c r="R594" i="131"/>
  <c r="S591" i="131"/>
  <c r="R591" i="131"/>
  <c r="S588" i="131"/>
  <c r="R588" i="131"/>
  <c r="S586" i="131"/>
  <c r="R586" i="131"/>
  <c r="S584" i="131"/>
  <c r="R584" i="131"/>
  <c r="S582" i="131"/>
  <c r="R582" i="131"/>
  <c r="S580" i="131"/>
  <c r="R580" i="131"/>
  <c r="S578" i="131"/>
  <c r="R578" i="131"/>
  <c r="S576" i="131"/>
  <c r="R576" i="131"/>
  <c r="S574" i="131"/>
  <c r="R574" i="131"/>
  <c r="S572" i="131"/>
  <c r="R572" i="131"/>
  <c r="S570" i="131"/>
  <c r="R570" i="131"/>
  <c r="S563" i="131"/>
  <c r="S562" i="131" s="1"/>
  <c r="R563" i="131"/>
  <c r="R562" i="131" s="1"/>
  <c r="S560" i="131"/>
  <c r="S559" i="131" s="1"/>
  <c r="R560" i="131"/>
  <c r="R559" i="131" s="1"/>
  <c r="S557" i="131"/>
  <c r="S556" i="131" s="1"/>
  <c r="R557" i="131"/>
  <c r="R556" i="131" s="1"/>
  <c r="S553" i="131"/>
  <c r="S552" i="131" s="1"/>
  <c r="S551" i="131" s="1"/>
  <c r="R553" i="131"/>
  <c r="R552" i="131" s="1"/>
  <c r="R551" i="131" s="1"/>
  <c r="S549" i="131"/>
  <c r="R549" i="131"/>
  <c r="S547" i="131"/>
  <c r="R547" i="131"/>
  <c r="S545" i="131"/>
  <c r="R545" i="131"/>
  <c r="S543" i="131"/>
  <c r="R543" i="131"/>
  <c r="S541" i="131"/>
  <c r="R541" i="131"/>
  <c r="S539" i="131"/>
  <c r="R539" i="131"/>
  <c r="S529" i="131"/>
  <c r="S528" i="131" s="1"/>
  <c r="S527" i="131" s="1"/>
  <c r="R529" i="131"/>
  <c r="R528" i="131" s="1"/>
  <c r="R527" i="131" s="1"/>
  <c r="S524" i="131"/>
  <c r="R524" i="131"/>
  <c r="S522" i="131"/>
  <c r="R522" i="131"/>
  <c r="S520" i="131"/>
  <c r="R520" i="131"/>
  <c r="S518" i="131"/>
  <c r="R518" i="131"/>
  <c r="S515" i="131"/>
  <c r="S514" i="131" s="1"/>
  <c r="R515" i="131"/>
  <c r="R514" i="131" s="1"/>
  <c r="S512" i="131"/>
  <c r="S511" i="131" s="1"/>
  <c r="R512" i="131"/>
  <c r="R511" i="131" s="1"/>
  <c r="S509" i="131"/>
  <c r="S508" i="131" s="1"/>
  <c r="R509" i="131"/>
  <c r="R508" i="131" s="1"/>
  <c r="S506" i="131"/>
  <c r="S505" i="131" s="1"/>
  <c r="R506" i="131"/>
  <c r="R505" i="131" s="1"/>
  <c r="S503" i="131"/>
  <c r="S502" i="131" s="1"/>
  <c r="R503" i="131"/>
  <c r="R502" i="131" s="1"/>
  <c r="S499" i="131"/>
  <c r="S498" i="131" s="1"/>
  <c r="S497" i="131" s="1"/>
  <c r="S496" i="131" s="1"/>
  <c r="R499" i="131"/>
  <c r="R498" i="131" s="1"/>
  <c r="R497" i="131" s="1"/>
  <c r="R496" i="131" s="1"/>
  <c r="S494" i="131"/>
  <c r="R494" i="131"/>
  <c r="S492" i="131"/>
  <c r="R492" i="131"/>
  <c r="S486" i="131"/>
  <c r="S485" i="131" s="1"/>
  <c r="S484" i="131" s="1"/>
  <c r="R486" i="131"/>
  <c r="R485" i="131" s="1"/>
  <c r="R484" i="131" s="1"/>
  <c r="S482" i="131"/>
  <c r="R482" i="131"/>
  <c r="S480" i="131"/>
  <c r="R480" i="131"/>
  <c r="S478" i="131"/>
  <c r="R478" i="131"/>
  <c r="S473" i="131"/>
  <c r="S472" i="131" s="1"/>
  <c r="S471" i="131" s="1"/>
  <c r="S470" i="131" s="1"/>
  <c r="S469" i="131" s="1"/>
  <c r="R473" i="131"/>
  <c r="R472" i="131" s="1"/>
  <c r="R471" i="131" s="1"/>
  <c r="R470" i="131" s="1"/>
  <c r="R469" i="131" s="1"/>
  <c r="S467" i="131"/>
  <c r="S466" i="131" s="1"/>
  <c r="R467" i="131"/>
  <c r="R466" i="131" s="1"/>
  <c r="S464" i="131"/>
  <c r="S463" i="131" s="1"/>
  <c r="R464" i="131"/>
  <c r="R463" i="131" s="1"/>
  <c r="S461" i="131"/>
  <c r="R461" i="131"/>
  <c r="S459" i="131"/>
  <c r="S458" i="131" s="1"/>
  <c r="R459" i="131"/>
  <c r="S456" i="131"/>
  <c r="S455" i="131" s="1"/>
  <c r="R456" i="131"/>
  <c r="R455" i="131" s="1"/>
  <c r="S453" i="131"/>
  <c r="S452" i="131" s="1"/>
  <c r="R453" i="131"/>
  <c r="R452" i="131" s="1"/>
  <c r="S450" i="131"/>
  <c r="S449" i="131" s="1"/>
  <c r="R450" i="131"/>
  <c r="R449" i="131" s="1"/>
  <c r="S445" i="131"/>
  <c r="S444" i="131" s="1"/>
  <c r="S443" i="131" s="1"/>
  <c r="R445" i="131"/>
  <c r="R444" i="131" s="1"/>
  <c r="R443" i="131" s="1"/>
  <c r="S438" i="131"/>
  <c r="R438" i="131"/>
  <c r="S436" i="131"/>
  <c r="R436" i="131"/>
  <c r="S433" i="131"/>
  <c r="S432" i="131" s="1"/>
  <c r="R433" i="131"/>
  <c r="R432" i="131" s="1"/>
  <c r="S430" i="131"/>
  <c r="R430" i="131"/>
  <c r="S428" i="131"/>
  <c r="R428" i="131"/>
  <c r="S414" i="131"/>
  <c r="S413" i="131" s="1"/>
  <c r="R414" i="131"/>
  <c r="R413" i="131" s="1"/>
  <c r="S411" i="131"/>
  <c r="S410" i="131" s="1"/>
  <c r="R411" i="131"/>
  <c r="R410" i="131" s="1"/>
  <c r="S408" i="131"/>
  <c r="S407" i="131" s="1"/>
  <c r="R408" i="131"/>
  <c r="R407" i="131" s="1"/>
  <c r="S405" i="131"/>
  <c r="R405" i="131"/>
  <c r="S403" i="131"/>
  <c r="R403" i="131"/>
  <c r="S400" i="131"/>
  <c r="S399" i="131" s="1"/>
  <c r="R400" i="131"/>
  <c r="R399" i="131" s="1"/>
  <c r="S397" i="131"/>
  <c r="S396" i="131" s="1"/>
  <c r="R397" i="131"/>
  <c r="R396" i="131" s="1"/>
  <c r="S393" i="131"/>
  <c r="S392" i="131" s="1"/>
  <c r="R393" i="131"/>
  <c r="R392" i="131" s="1"/>
  <c r="S390" i="131"/>
  <c r="S389" i="131" s="1"/>
  <c r="R390" i="131"/>
  <c r="R389" i="131" s="1"/>
  <c r="S387" i="131"/>
  <c r="S386" i="131" s="1"/>
  <c r="R387" i="131"/>
  <c r="R386" i="131" s="1"/>
  <c r="S384" i="131"/>
  <c r="S383" i="131" s="1"/>
  <c r="R384" i="131"/>
  <c r="R383" i="131" s="1"/>
  <c r="S379" i="131"/>
  <c r="R379" i="131"/>
  <c r="S377" i="131"/>
  <c r="R377" i="131"/>
  <c r="S374" i="131"/>
  <c r="R374" i="131"/>
  <c r="S372" i="131"/>
  <c r="R372" i="131"/>
  <c r="S367" i="131"/>
  <c r="R367" i="131"/>
  <c r="S353" i="131"/>
  <c r="R353" i="131"/>
  <c r="S351" i="131"/>
  <c r="R351" i="131"/>
  <c r="S342" i="131"/>
  <c r="R342" i="131"/>
  <c r="S340" i="131"/>
  <c r="R340" i="131"/>
  <c r="S335" i="131"/>
  <c r="R335" i="131"/>
  <c r="S330" i="131"/>
  <c r="R330" i="131"/>
  <c r="S327" i="131"/>
  <c r="S326" i="131" s="1"/>
  <c r="S322" i="131" s="1"/>
  <c r="R327" i="131"/>
  <c r="R326" i="131" s="1"/>
  <c r="R322" i="131" s="1"/>
  <c r="S320" i="131"/>
  <c r="S319" i="131" s="1"/>
  <c r="S318" i="131" s="1"/>
  <c r="R320" i="131"/>
  <c r="R319" i="131" s="1"/>
  <c r="R318" i="131" s="1"/>
  <c r="S316" i="131"/>
  <c r="S315" i="131" s="1"/>
  <c r="R316" i="131"/>
  <c r="R315" i="131" s="1"/>
  <c r="S313" i="131"/>
  <c r="S312" i="131" s="1"/>
  <c r="R313" i="131"/>
  <c r="R312" i="131" s="1"/>
  <c r="S308" i="131"/>
  <c r="R308" i="131"/>
  <c r="S305" i="131"/>
  <c r="R305" i="131"/>
  <c r="S295" i="131"/>
  <c r="R295" i="131"/>
  <c r="S292" i="131"/>
  <c r="R292" i="131"/>
  <c r="S281" i="131"/>
  <c r="S280" i="131" s="1"/>
  <c r="S279" i="131" s="1"/>
  <c r="R281" i="131"/>
  <c r="R280" i="131" s="1"/>
  <c r="R279" i="131" s="1"/>
  <c r="R2417" i="131" s="1"/>
  <c r="R2418" i="131" s="1"/>
  <c r="S273" i="131"/>
  <c r="R273" i="131"/>
  <c r="S269" i="131"/>
  <c r="R269" i="131"/>
  <c r="S267" i="131"/>
  <c r="R267" i="131"/>
  <c r="S265" i="131"/>
  <c r="R265" i="131"/>
  <c r="S262" i="131"/>
  <c r="R262" i="131"/>
  <c r="S260" i="131"/>
  <c r="R260" i="131"/>
  <c r="S257" i="131"/>
  <c r="R257" i="131"/>
  <c r="S254" i="131"/>
  <c r="R254" i="131"/>
  <c r="S251" i="131"/>
  <c r="R251" i="131"/>
  <c r="S241" i="131"/>
  <c r="R241" i="131"/>
  <c r="R237" i="131"/>
  <c r="R236" i="131" s="1"/>
  <c r="R235" i="131" s="1"/>
  <c r="R234" i="131" s="1"/>
  <c r="S236" i="131"/>
  <c r="S235" i="131" s="1"/>
  <c r="S234" i="131" s="1"/>
  <c r="S232" i="131"/>
  <c r="S231" i="131" s="1"/>
  <c r="R232" i="131"/>
  <c r="R231" i="131" s="1"/>
  <c r="S229" i="131"/>
  <c r="S228" i="131" s="1"/>
  <c r="R229" i="131"/>
  <c r="R228" i="131" s="1"/>
  <c r="S222" i="131"/>
  <c r="R222" i="131"/>
  <c r="S220" i="131"/>
  <c r="R220" i="131"/>
  <c r="S217" i="131"/>
  <c r="S216" i="131" s="1"/>
  <c r="R217" i="131"/>
  <c r="R216" i="131" s="1"/>
  <c r="S214" i="131"/>
  <c r="S213" i="131" s="1"/>
  <c r="R214" i="131"/>
  <c r="R213" i="131" s="1"/>
  <c r="S208" i="131"/>
  <c r="S207" i="131" s="1"/>
  <c r="R208" i="131"/>
  <c r="R207" i="131" s="1"/>
  <c r="R206" i="131" s="1"/>
  <c r="R205" i="131" s="1"/>
  <c r="S203" i="131"/>
  <c r="S202" i="131" s="1"/>
  <c r="R203" i="131"/>
  <c r="R202" i="131" s="1"/>
  <c r="S197" i="131"/>
  <c r="S196" i="131" s="1"/>
  <c r="R197" i="131"/>
  <c r="R196" i="131" s="1"/>
  <c r="S194" i="131"/>
  <c r="S193" i="131" s="1"/>
  <c r="R194" i="131"/>
  <c r="R193" i="131" s="1"/>
  <c r="S191" i="131"/>
  <c r="S190" i="131" s="1"/>
  <c r="R191" i="131"/>
  <c r="R190" i="131" s="1"/>
  <c r="S187" i="131"/>
  <c r="S186" i="131" s="1"/>
  <c r="S185" i="131" s="1"/>
  <c r="R187" i="131"/>
  <c r="R186" i="131" s="1"/>
  <c r="R185" i="131" s="1"/>
  <c r="S183" i="131"/>
  <c r="S182" i="131" s="1"/>
  <c r="S181" i="131" s="1"/>
  <c r="S2391" i="131" s="1"/>
  <c r="R183" i="131"/>
  <c r="R182" i="131" s="1"/>
  <c r="R181" i="131" s="1"/>
  <c r="R2391" i="131" s="1"/>
  <c r="S178" i="131"/>
  <c r="S177" i="131" s="1"/>
  <c r="S176" i="131" s="1"/>
  <c r="S175" i="131" s="1"/>
  <c r="R178" i="131"/>
  <c r="R177" i="131" s="1"/>
  <c r="R176" i="131" s="1"/>
  <c r="R175" i="131" s="1"/>
  <c r="S164" i="131"/>
  <c r="R164" i="131"/>
  <c r="S162" i="131"/>
  <c r="R162" i="131"/>
  <c r="S155" i="131"/>
  <c r="R155" i="131"/>
  <c r="S152" i="131"/>
  <c r="R152" i="131"/>
  <c r="S150" i="131"/>
  <c r="R150" i="131"/>
  <c r="S147" i="131"/>
  <c r="R147" i="131"/>
  <c r="S145" i="131"/>
  <c r="R145" i="131"/>
  <c r="S142" i="131"/>
  <c r="R142" i="131"/>
  <c r="S140" i="131"/>
  <c r="R140" i="131"/>
  <c r="S137" i="131"/>
  <c r="R137" i="131"/>
  <c r="S133" i="131"/>
  <c r="R133" i="131"/>
  <c r="S124" i="131"/>
  <c r="S123" i="131" s="1"/>
  <c r="R124" i="131"/>
  <c r="R123" i="131" s="1"/>
  <c r="S120" i="131"/>
  <c r="S119" i="131" s="1"/>
  <c r="R120" i="131"/>
  <c r="R119" i="131" s="1"/>
  <c r="S117" i="131"/>
  <c r="S116" i="131" s="1"/>
  <c r="R117" i="131"/>
  <c r="R116" i="131" s="1"/>
  <c r="S114" i="131"/>
  <c r="S113" i="131" s="1"/>
  <c r="R114" i="131"/>
  <c r="R113" i="131" s="1"/>
  <c r="S110" i="131"/>
  <c r="S109" i="131" s="1"/>
  <c r="S108" i="131" s="1"/>
  <c r="R110" i="131"/>
  <c r="R109" i="131" s="1"/>
  <c r="R108" i="131" s="1"/>
  <c r="R2401" i="131" s="1"/>
  <c r="R106" i="131"/>
  <c r="R105" i="131" s="1"/>
  <c r="R104" i="131" s="1"/>
  <c r="S102" i="131"/>
  <c r="S101" i="131" s="1"/>
  <c r="S100" i="131" s="1"/>
  <c r="R102" i="131"/>
  <c r="R101" i="131" s="1"/>
  <c r="R100" i="131" s="1"/>
  <c r="S84" i="131"/>
  <c r="S83" i="131" s="1"/>
  <c r="R84" i="131"/>
  <c r="R83" i="131" s="1"/>
  <c r="S80" i="131"/>
  <c r="S79" i="131" s="1"/>
  <c r="R80" i="131"/>
  <c r="R79" i="131" s="1"/>
  <c r="S77" i="131"/>
  <c r="S76" i="131" s="1"/>
  <c r="R77" i="131"/>
  <c r="R76" i="131" s="1"/>
  <c r="S67" i="131"/>
  <c r="S66" i="131" s="1"/>
  <c r="S65" i="131" s="1"/>
  <c r="R67" i="131"/>
  <c r="R66" i="131" s="1"/>
  <c r="R65" i="131" s="1"/>
  <c r="S56" i="131"/>
  <c r="R56" i="131"/>
  <c r="S51" i="131"/>
  <c r="R51" i="131"/>
  <c r="S47" i="131"/>
  <c r="R47" i="131"/>
  <c r="S33" i="131"/>
  <c r="R33" i="131"/>
  <c r="S30" i="131"/>
  <c r="R30" i="131"/>
  <c r="S27" i="131"/>
  <c r="R27" i="131"/>
  <c r="S20" i="131"/>
  <c r="R20" i="131"/>
  <c r="S7" i="131"/>
  <c r="F253" i="1"/>
  <c r="H1783" i="131"/>
  <c r="L1783" i="131" s="1"/>
  <c r="G1783" i="131"/>
  <c r="H628" i="131"/>
  <c r="G628" i="131"/>
  <c r="A210" i="114"/>
  <c r="A356" i="114"/>
  <c r="A354" i="114"/>
  <c r="A352" i="114"/>
  <c r="A350" i="114"/>
  <c r="A348" i="114"/>
  <c r="A346" i="114"/>
  <c r="A344" i="114"/>
  <c r="A343" i="114"/>
  <c r="A327" i="114"/>
  <c r="A216" i="114"/>
  <c r="H2314" i="131"/>
  <c r="H2313" i="131" s="1"/>
  <c r="G2314" i="131"/>
  <c r="H2155" i="131"/>
  <c r="H2154" i="131" s="1"/>
  <c r="G2155" i="131"/>
  <c r="G2154" i="131" s="1"/>
  <c r="H1920" i="131"/>
  <c r="G1920" i="131"/>
  <c r="H1917" i="131"/>
  <c r="H1916" i="131" s="1"/>
  <c r="G1917" i="131"/>
  <c r="G1916" i="131" s="1"/>
  <c r="H1923" i="131"/>
  <c r="H1919" i="131" s="1"/>
  <c r="I347" i="114" s="1"/>
  <c r="I346" i="114" s="1"/>
  <c r="G1923" i="131"/>
  <c r="H1926" i="131"/>
  <c r="G1926" i="131"/>
  <c r="G1925" i="131" s="1"/>
  <c r="H349" i="114" s="1"/>
  <c r="H348" i="114" s="1"/>
  <c r="H1929" i="131"/>
  <c r="H1928" i="131" s="1"/>
  <c r="I351" i="114" s="1"/>
  <c r="I350" i="114" s="1"/>
  <c r="G1929" i="131"/>
  <c r="G1928" i="131" s="1"/>
  <c r="H351" i="114" s="1"/>
  <c r="H350" i="114" s="1"/>
  <c r="H1932" i="131"/>
  <c r="H1931" i="131" s="1"/>
  <c r="I353" i="114" s="1"/>
  <c r="I352" i="114" s="1"/>
  <c r="G1932" i="131"/>
  <c r="G1931" i="131" s="1"/>
  <c r="H353" i="114" s="1"/>
  <c r="H352" i="114" s="1"/>
  <c r="H1935" i="131"/>
  <c r="H1934" i="131" s="1"/>
  <c r="I355" i="114" s="1"/>
  <c r="I354" i="114" s="1"/>
  <c r="G1935" i="131"/>
  <c r="G1934" i="131" s="1"/>
  <c r="H1938" i="131"/>
  <c r="H1937" i="131" s="1"/>
  <c r="G1938" i="131"/>
  <c r="G1937" i="131" s="1"/>
  <c r="H357" i="114" s="1"/>
  <c r="H356" i="114" s="1"/>
  <c r="H1887" i="131"/>
  <c r="H1886" i="131" s="1"/>
  <c r="G1887" i="131"/>
  <c r="H1875" i="131"/>
  <c r="H1873" i="131"/>
  <c r="G1875" i="131"/>
  <c r="G1873" i="131"/>
  <c r="H1823" i="131"/>
  <c r="H1822" i="131" s="1"/>
  <c r="I211" i="114" s="1"/>
  <c r="I210" i="114" s="1"/>
  <c r="G1823" i="131"/>
  <c r="G1822" i="131" s="1"/>
  <c r="H211" i="114" s="1"/>
  <c r="H210" i="114" s="1"/>
  <c r="H1787" i="131"/>
  <c r="G1787" i="131"/>
  <c r="H1380" i="131"/>
  <c r="G1380" i="131"/>
  <c r="G1318" i="131"/>
  <c r="H1257" i="131"/>
  <c r="G1257" i="131"/>
  <c r="H1166" i="131"/>
  <c r="G1166" i="131"/>
  <c r="H1155" i="131"/>
  <c r="G1155" i="131"/>
  <c r="H1049" i="131"/>
  <c r="G1049" i="131"/>
  <c r="H1046" i="131"/>
  <c r="G1046" i="131"/>
  <c r="H969" i="131"/>
  <c r="H661" i="131"/>
  <c r="G661" i="131"/>
  <c r="H572" i="131"/>
  <c r="G572" i="131"/>
  <c r="H560" i="131"/>
  <c r="H559" i="131" s="1"/>
  <c r="G560" i="131"/>
  <c r="G559" i="131" s="1"/>
  <c r="H557" i="131"/>
  <c r="H556" i="131" s="1"/>
  <c r="G557" i="131"/>
  <c r="G556" i="131" s="1"/>
  <c r="D238" i="1"/>
  <c r="F241" i="1"/>
  <c r="D240" i="1"/>
  <c r="F295" i="1"/>
  <c r="F194" i="1"/>
  <c r="F140" i="1"/>
  <c r="F272" i="1"/>
  <c r="G2322" i="131"/>
  <c r="G1789" i="131"/>
  <c r="G1758" i="131"/>
  <c r="H1495" i="131"/>
  <c r="G1495" i="131"/>
  <c r="H1488" i="131"/>
  <c r="G1488" i="131"/>
  <c r="K1488" i="131" s="1"/>
  <c r="G1244" i="131"/>
  <c r="N13" i="273"/>
  <c r="M13" i="273"/>
  <c r="N12" i="273"/>
  <c r="N11" i="273"/>
  <c r="M11" i="273"/>
  <c r="N14" i="273"/>
  <c r="C12" i="273"/>
  <c r="C14" i="273" s="1"/>
  <c r="M14" i="273" s="1"/>
  <c r="L11" i="273"/>
  <c r="H616" i="131"/>
  <c r="G616" i="131"/>
  <c r="H445" i="131"/>
  <c r="G445" i="131"/>
  <c r="G444" i="131" s="1"/>
  <c r="A186" i="114"/>
  <c r="A184" i="114"/>
  <c r="A181" i="114"/>
  <c r="A180" i="114"/>
  <c r="A38" i="114"/>
  <c r="A29" i="114"/>
  <c r="H2466" i="131"/>
  <c r="H2337" i="131"/>
  <c r="G2337" i="131"/>
  <c r="G2336" i="131" s="1"/>
  <c r="H121" i="114" s="1"/>
  <c r="H120" i="114" s="1"/>
  <c r="H2322" i="131"/>
  <c r="H2320" i="131"/>
  <c r="G2320" i="131"/>
  <c r="H2134" i="131"/>
  <c r="H2133" i="131" s="1"/>
  <c r="G2134" i="131"/>
  <c r="G2133" i="131" s="1"/>
  <c r="H2090" i="131"/>
  <c r="G2090" i="131"/>
  <c r="H1466" i="131"/>
  <c r="H1469" i="131"/>
  <c r="G1469" i="131"/>
  <c r="G1466" i="131"/>
  <c r="H1435" i="131"/>
  <c r="H1434" i="131" s="1"/>
  <c r="I183" i="114" s="1"/>
  <c r="H1438" i="131"/>
  <c r="H1437" i="131" s="1"/>
  <c r="H1441" i="131"/>
  <c r="H1440" i="131" s="1"/>
  <c r="G1441" i="131"/>
  <c r="G1440" i="131" s="1"/>
  <c r="G1438" i="131"/>
  <c r="G1437" i="131" s="1"/>
  <c r="G1435" i="131"/>
  <c r="G1434" i="131" s="1"/>
  <c r="H183" i="114" s="1"/>
  <c r="H1384" i="131"/>
  <c r="L1384" i="131" s="1"/>
  <c r="G1384" i="131"/>
  <c r="T1379" i="131"/>
  <c r="W1379" i="131"/>
  <c r="H1377" i="131"/>
  <c r="G1377" i="131"/>
  <c r="H1371" i="131"/>
  <c r="G1371" i="131"/>
  <c r="G879" i="131"/>
  <c r="H1173" i="131"/>
  <c r="G1173" i="131"/>
  <c r="G1172" i="131" s="1"/>
  <c r="H1169" i="131"/>
  <c r="H1164" i="131"/>
  <c r="H1153" i="131"/>
  <c r="L1153" i="131" s="1"/>
  <c r="G1169" i="131"/>
  <c r="G1168" i="131" s="1"/>
  <c r="G1164" i="131"/>
  <c r="G1153" i="131"/>
  <c r="H1149" i="131"/>
  <c r="G1149" i="131"/>
  <c r="H1044" i="131"/>
  <c r="G1044" i="131"/>
  <c r="H988" i="131"/>
  <c r="G988" i="131"/>
  <c r="H976" i="131"/>
  <c r="H975" i="131" s="1"/>
  <c r="H974" i="131" s="1"/>
  <c r="G976" i="131"/>
  <c r="H861" i="131"/>
  <c r="G861" i="131"/>
  <c r="K861" i="131" s="1"/>
  <c r="H741" i="131"/>
  <c r="G741" i="131"/>
  <c r="H666" i="131"/>
  <c r="H663" i="131"/>
  <c r="H659" i="131"/>
  <c r="H656" i="131"/>
  <c r="H653" i="131"/>
  <c r="H652" i="131" s="1"/>
  <c r="G666" i="131"/>
  <c r="G665" i="131" s="1"/>
  <c r="H39" i="114" s="1"/>
  <c r="G663" i="131"/>
  <c r="G659" i="131"/>
  <c r="G656" i="131"/>
  <c r="G653" i="131"/>
  <c r="G652" i="131" s="1"/>
  <c r="H613" i="131"/>
  <c r="G613" i="131"/>
  <c r="H596" i="131"/>
  <c r="G596" i="131"/>
  <c r="K596" i="131" s="1"/>
  <c r="H486" i="131"/>
  <c r="H485" i="131" s="1"/>
  <c r="G486" i="131"/>
  <c r="H367" i="131"/>
  <c r="H305" i="131"/>
  <c r="G305" i="131"/>
  <c r="M306" i="1"/>
  <c r="F50" i="1"/>
  <c r="D49" i="1"/>
  <c r="F32" i="1"/>
  <c r="D31" i="1"/>
  <c r="F31" i="1" s="1"/>
  <c r="G1394" i="131"/>
  <c r="H1394" i="131"/>
  <c r="A33" i="114"/>
  <c r="A24" i="114"/>
  <c r="A23" i="114"/>
  <c r="G1360" i="131"/>
  <c r="H948" i="131"/>
  <c r="G937" i="131"/>
  <c r="AK296" i="1"/>
  <c r="F296" i="1"/>
  <c r="D292" i="1"/>
  <c r="D291" i="1" s="1"/>
  <c r="F110" i="1"/>
  <c r="D109" i="1"/>
  <c r="D108" i="1" s="1"/>
  <c r="AK108" i="1" s="1"/>
  <c r="AK107" i="1"/>
  <c r="F107" i="1"/>
  <c r="AJ106" i="1"/>
  <c r="D106" i="1"/>
  <c r="D105" i="1" s="1"/>
  <c r="D73" i="1"/>
  <c r="D72" i="1" s="1"/>
  <c r="F75" i="1"/>
  <c r="D166" i="1"/>
  <c r="D165" i="1" s="1"/>
  <c r="F252" i="1"/>
  <c r="F250" i="1"/>
  <c r="F246" i="1"/>
  <c r="F245" i="1"/>
  <c r="F244" i="1"/>
  <c r="F243" i="1"/>
  <c r="F239" i="1"/>
  <c r="F238" i="1" s="1"/>
  <c r="F235" i="1"/>
  <c r="F232" i="1"/>
  <c r="F229" i="1"/>
  <c r="F226" i="1"/>
  <c r="F220" i="1"/>
  <c r="F219" i="1" s="1"/>
  <c r="F215" i="1"/>
  <c r="F214" i="1"/>
  <c r="F213" i="1"/>
  <c r="F304" i="1" s="1"/>
  <c r="F210" i="1"/>
  <c r="F209" i="1"/>
  <c r="F207" i="1"/>
  <c r="F206" i="1"/>
  <c r="F205" i="1"/>
  <c r="F204" i="1"/>
  <c r="F201" i="1"/>
  <c r="F198" i="1"/>
  <c r="F195" i="1"/>
  <c r="F193" i="1"/>
  <c r="F192" i="1"/>
  <c r="F191" i="1"/>
  <c r="F190" i="1"/>
  <c r="F189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4" i="1"/>
  <c r="F173" i="1"/>
  <c r="F169" i="1"/>
  <c r="F168" i="1"/>
  <c r="F167" i="1"/>
  <c r="F164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3" i="1"/>
  <c r="F122" i="1"/>
  <c r="F121" i="1"/>
  <c r="F120" i="1"/>
  <c r="F114" i="1"/>
  <c r="F111" i="1"/>
  <c r="F101" i="1"/>
  <c r="F100" i="1"/>
  <c r="F97" i="1"/>
  <c r="F93" i="1"/>
  <c r="F95" i="1"/>
  <c r="F91" i="1"/>
  <c r="F87" i="1"/>
  <c r="F84" i="1"/>
  <c r="F81" i="1"/>
  <c r="F74" i="1"/>
  <c r="F71" i="1"/>
  <c r="F68" i="1"/>
  <c r="F65" i="1"/>
  <c r="F62" i="1"/>
  <c r="F59" i="1"/>
  <c r="F47" i="1"/>
  <c r="F44" i="1"/>
  <c r="F41" i="1"/>
  <c r="F38" i="1"/>
  <c r="F35" i="1"/>
  <c r="F29" i="1"/>
  <c r="F27" i="1"/>
  <c r="F24" i="1"/>
  <c r="F21" i="1"/>
  <c r="F20" i="1" s="1"/>
  <c r="F19" i="1" s="1"/>
  <c r="F16" i="1"/>
  <c r="F15" i="1" s="1"/>
  <c r="F13" i="1"/>
  <c r="F11" i="1"/>
  <c r="F10" i="1" s="1"/>
  <c r="C15" i="39"/>
  <c r="C14" i="39" s="1"/>
  <c r="E15" i="39"/>
  <c r="E14" i="39"/>
  <c r="C17" i="39"/>
  <c r="E17" i="39"/>
  <c r="C21" i="39"/>
  <c r="E22" i="39"/>
  <c r="E21" i="39" s="1"/>
  <c r="E20" i="39" s="1"/>
  <c r="E19" i="39" s="1"/>
  <c r="C23" i="39"/>
  <c r="B12" i="273" s="1"/>
  <c r="E24" i="39"/>
  <c r="E23" i="39"/>
  <c r="C37" i="39"/>
  <c r="C36" i="39"/>
  <c r="C35" i="39"/>
  <c r="D37" i="39"/>
  <c r="D36" i="39" s="1"/>
  <c r="D35" i="39" s="1"/>
  <c r="E37" i="39"/>
  <c r="E36" i="39"/>
  <c r="E35" i="39"/>
  <c r="A12" i="114"/>
  <c r="E13" i="114"/>
  <c r="E12" i="114" s="1"/>
  <c r="A14" i="114"/>
  <c r="E15" i="114"/>
  <c r="E14" i="114" s="1"/>
  <c r="A16" i="114"/>
  <c r="E18" i="114"/>
  <c r="E16" i="114" s="1"/>
  <c r="A19" i="114"/>
  <c r="E20" i="114"/>
  <c r="E19" i="114" s="1"/>
  <c r="A21" i="114"/>
  <c r="E22" i="114"/>
  <c r="E21" i="114" s="1"/>
  <c r="B48" i="114"/>
  <c r="C48" i="114"/>
  <c r="D48" i="114"/>
  <c r="F48" i="114"/>
  <c r="B49" i="114"/>
  <c r="C49" i="114"/>
  <c r="D49" i="114"/>
  <c r="F49" i="114"/>
  <c r="A58" i="114"/>
  <c r="A59" i="114"/>
  <c r="A60" i="114"/>
  <c r="A61" i="114"/>
  <c r="A62" i="114"/>
  <c r="A63" i="114"/>
  <c r="A64" i="114"/>
  <c r="A75" i="114"/>
  <c r="B75" i="114"/>
  <c r="C75" i="114"/>
  <c r="D75" i="114"/>
  <c r="E76" i="114"/>
  <c r="A83" i="114"/>
  <c r="A84" i="114"/>
  <c r="A86" i="114"/>
  <c r="A88" i="114"/>
  <c r="A91" i="114"/>
  <c r="A93" i="114"/>
  <c r="H94" i="114"/>
  <c r="H93" i="114" s="1"/>
  <c r="A95" i="114"/>
  <c r="A97" i="114"/>
  <c r="A103" i="114"/>
  <c r="A105" i="114"/>
  <c r="A110" i="114"/>
  <c r="A112" i="114"/>
  <c r="A114" i="114"/>
  <c r="A116" i="114"/>
  <c r="A118" i="114"/>
  <c r="A122" i="114"/>
  <c r="A123" i="114"/>
  <c r="A125" i="114"/>
  <c r="A126" i="114"/>
  <c r="A128" i="114"/>
  <c r="A129" i="114"/>
  <c r="A131" i="114"/>
  <c r="A133" i="114"/>
  <c r="A135" i="114"/>
  <c r="A137" i="114"/>
  <c r="A139" i="114"/>
  <c r="A140" i="114"/>
  <c r="E140" i="114"/>
  <c r="E141" i="114"/>
  <c r="A144" i="114"/>
  <c r="E144" i="114"/>
  <c r="E145" i="114"/>
  <c r="A146" i="114"/>
  <c r="A152" i="114"/>
  <c r="A153" i="114"/>
  <c r="A157" i="114"/>
  <c r="A158" i="114"/>
  <c r="A164" i="114"/>
  <c r="E164" i="114"/>
  <c r="E165" i="114"/>
  <c r="A166" i="114"/>
  <c r="A167" i="114"/>
  <c r="A169" i="114"/>
  <c r="A171" i="114"/>
  <c r="A172" i="114"/>
  <c r="A174" i="114"/>
  <c r="A175" i="114"/>
  <c r="A177" i="114"/>
  <c r="A178" i="114"/>
  <c r="A194" i="114"/>
  <c r="E194" i="114"/>
  <c r="A195" i="114"/>
  <c r="E195" i="114"/>
  <c r="E196" i="114"/>
  <c r="A197" i="114"/>
  <c r="A200" i="114"/>
  <c r="A204" i="114"/>
  <c r="A206" i="114"/>
  <c r="E207" i="114"/>
  <c r="E206" i="114" s="1"/>
  <c r="A208" i="114"/>
  <c r="E209" i="114"/>
  <c r="E208" i="114" s="1"/>
  <c r="A236" i="114"/>
  <c r="A237" i="114"/>
  <c r="A238" i="114"/>
  <c r="A240" i="114"/>
  <c r="A242" i="114"/>
  <c r="A244" i="114"/>
  <c r="A246" i="114"/>
  <c r="A247" i="114"/>
  <c r="A249" i="114"/>
  <c r="A251" i="114"/>
  <c r="A254" i="114"/>
  <c r="A256" i="114"/>
  <c r="A258" i="114"/>
  <c r="A264" i="114"/>
  <c r="A265" i="114"/>
  <c r="A267" i="114"/>
  <c r="A269" i="114"/>
  <c r="A273" i="114"/>
  <c r="A274" i="114"/>
  <c r="A276" i="114"/>
  <c r="A277" i="114"/>
  <c r="A280" i="114"/>
  <c r="A284" i="114"/>
  <c r="A289" i="114"/>
  <c r="A291" i="114"/>
  <c r="A293" i="114"/>
  <c r="A302" i="114"/>
  <c r="A308" i="114"/>
  <c r="A317" i="114"/>
  <c r="A318" i="114"/>
  <c r="A320" i="114"/>
  <c r="A322" i="114"/>
  <c r="A324" i="114"/>
  <c r="A325" i="114"/>
  <c r="A376" i="114"/>
  <c r="A378" i="114"/>
  <c r="A380" i="114"/>
  <c r="A381" i="114"/>
  <c r="A387" i="114"/>
  <c r="A388" i="114"/>
  <c r="E388" i="114"/>
  <c r="E389" i="114"/>
  <c r="A390" i="114"/>
  <c r="A391" i="114"/>
  <c r="A393" i="114"/>
  <c r="A395" i="114"/>
  <c r="A397" i="114"/>
  <c r="A404" i="114"/>
  <c r="H918" i="114"/>
  <c r="L918" i="114"/>
  <c r="H7" i="131"/>
  <c r="G20" i="131"/>
  <c r="H20" i="131"/>
  <c r="U20" i="131"/>
  <c r="V20" i="131"/>
  <c r="N21" i="131"/>
  <c r="N20" i="131" s="1"/>
  <c r="P21" i="131"/>
  <c r="T21" i="131"/>
  <c r="W21" i="131"/>
  <c r="T22" i="131"/>
  <c r="W22" i="131"/>
  <c r="T23" i="131"/>
  <c r="W23" i="131"/>
  <c r="T24" i="131"/>
  <c r="W24" i="131"/>
  <c r="T25" i="131"/>
  <c r="W25" i="131"/>
  <c r="T26" i="131"/>
  <c r="W26" i="131"/>
  <c r="G27" i="131"/>
  <c r="H27" i="131"/>
  <c r="N27" i="131"/>
  <c r="U27" i="131"/>
  <c r="V27" i="131"/>
  <c r="T28" i="131"/>
  <c r="W28" i="131"/>
  <c r="T29" i="131"/>
  <c r="W29" i="131"/>
  <c r="G30" i="131"/>
  <c r="H30" i="131"/>
  <c r="N30" i="131"/>
  <c r="U30" i="131"/>
  <c r="V30" i="131"/>
  <c r="T31" i="131"/>
  <c r="W31" i="131"/>
  <c r="T32" i="131"/>
  <c r="W32" i="131"/>
  <c r="G33" i="131"/>
  <c r="H33" i="131"/>
  <c r="U33" i="131"/>
  <c r="V33" i="131"/>
  <c r="W34" i="131"/>
  <c r="W35" i="131"/>
  <c r="G47" i="131"/>
  <c r="H47" i="131"/>
  <c r="N47" i="131"/>
  <c r="U47" i="131"/>
  <c r="V47" i="131"/>
  <c r="T48" i="131"/>
  <c r="W48" i="131"/>
  <c r="T49" i="131"/>
  <c r="W49" i="131"/>
  <c r="G51" i="131"/>
  <c r="H51" i="131"/>
  <c r="U51" i="131"/>
  <c r="V51" i="131"/>
  <c r="N52" i="131"/>
  <c r="N51" i="131" s="1"/>
  <c r="T52" i="131"/>
  <c r="W52" i="131"/>
  <c r="T53" i="131"/>
  <c r="W53" i="131"/>
  <c r="T54" i="131"/>
  <c r="W54" i="131"/>
  <c r="T55" i="131"/>
  <c r="W55" i="131"/>
  <c r="G56" i="131"/>
  <c r="H56" i="131"/>
  <c r="U56" i="131"/>
  <c r="V56" i="131"/>
  <c r="W57" i="131"/>
  <c r="W58" i="131"/>
  <c r="G67" i="131"/>
  <c r="H67" i="131"/>
  <c r="N67" i="131"/>
  <c r="N66" i="131" s="1"/>
  <c r="N65" i="131" s="1"/>
  <c r="V67" i="131"/>
  <c r="V66" i="131" s="1"/>
  <c r="V65" i="131" s="1"/>
  <c r="T68" i="131"/>
  <c r="U68" i="131"/>
  <c r="W68" i="131"/>
  <c r="T69" i="131"/>
  <c r="U69" i="131"/>
  <c r="W69" i="131"/>
  <c r="T70" i="131"/>
  <c r="W70" i="131"/>
  <c r="T71" i="131"/>
  <c r="W71" i="131"/>
  <c r="G77" i="131"/>
  <c r="G76" i="131" s="1"/>
  <c r="H60" i="114" s="1"/>
  <c r="H59" i="114" s="1"/>
  <c r="U77" i="131"/>
  <c r="U76" i="131" s="1"/>
  <c r="V77" i="131"/>
  <c r="V76" i="131" s="1"/>
  <c r="W78" i="131"/>
  <c r="U80" i="131"/>
  <c r="U79" i="131" s="1"/>
  <c r="V80" i="131"/>
  <c r="V79" i="131" s="1"/>
  <c r="W81" i="131"/>
  <c r="G84" i="131"/>
  <c r="H84" i="131"/>
  <c r="U84" i="131"/>
  <c r="U83" i="131" s="1"/>
  <c r="V84" i="131"/>
  <c r="V83" i="131" s="1"/>
  <c r="W85" i="131"/>
  <c r="W86" i="131"/>
  <c r="H102" i="131"/>
  <c r="H101" i="131" s="1"/>
  <c r="G102" i="131"/>
  <c r="G101" i="131" s="1"/>
  <c r="G106" i="131"/>
  <c r="G105" i="131" s="1"/>
  <c r="G104" i="131" s="1"/>
  <c r="U106" i="131"/>
  <c r="U105" i="131" s="1"/>
  <c r="U104" i="131" s="1"/>
  <c r="W107" i="131"/>
  <c r="G110" i="131"/>
  <c r="H110" i="131"/>
  <c r="H109" i="131" s="1"/>
  <c r="U110" i="131"/>
  <c r="U109" i="131" s="1"/>
  <c r="U108" i="131" s="1"/>
  <c r="U2401" i="131" s="1"/>
  <c r="V110" i="131"/>
  <c r="V109" i="131" s="1"/>
  <c r="V108" i="131" s="1"/>
  <c r="G114" i="131"/>
  <c r="H114" i="131"/>
  <c r="H113" i="131" s="1"/>
  <c r="I392" i="114" s="1"/>
  <c r="I391" i="114" s="1"/>
  <c r="U114" i="131"/>
  <c r="U113" i="131" s="1"/>
  <c r="V114" i="131"/>
  <c r="V113" i="131" s="1"/>
  <c r="G117" i="131"/>
  <c r="G116" i="131" s="1"/>
  <c r="H117" i="131"/>
  <c r="H116" i="131" s="1"/>
  <c r="U117" i="131"/>
  <c r="U116" i="131" s="1"/>
  <c r="V117" i="131"/>
  <c r="V116" i="131" s="1"/>
  <c r="U120" i="131"/>
  <c r="U119" i="131" s="1"/>
  <c r="V120" i="131"/>
  <c r="V119" i="131" s="1"/>
  <c r="G124" i="131"/>
  <c r="G123" i="131" s="1"/>
  <c r="H124" i="131"/>
  <c r="U124" i="131"/>
  <c r="U123" i="131" s="1"/>
  <c r="V124" i="131"/>
  <c r="V123" i="131" s="1"/>
  <c r="P125" i="131"/>
  <c r="G133" i="131"/>
  <c r="H133" i="131"/>
  <c r="U133" i="131"/>
  <c r="V133" i="131"/>
  <c r="W134" i="131"/>
  <c r="W135" i="131"/>
  <c r="W136" i="131"/>
  <c r="G137" i="131"/>
  <c r="H137" i="131"/>
  <c r="U137" i="131"/>
  <c r="V137" i="131"/>
  <c r="W138" i="131"/>
  <c r="W139" i="131"/>
  <c r="G140" i="131"/>
  <c r="H140" i="131"/>
  <c r="U140" i="131"/>
  <c r="V140" i="131"/>
  <c r="G142" i="131"/>
  <c r="H142" i="131"/>
  <c r="U142" i="131"/>
  <c r="V142" i="131"/>
  <c r="W143" i="131"/>
  <c r="W144" i="131"/>
  <c r="G145" i="131"/>
  <c r="H145" i="131"/>
  <c r="U145" i="131"/>
  <c r="V145" i="131"/>
  <c r="W146" i="131"/>
  <c r="G147" i="131"/>
  <c r="H147" i="131"/>
  <c r="G150" i="131"/>
  <c r="H150" i="131"/>
  <c r="U150" i="131"/>
  <c r="V150" i="131"/>
  <c r="W151" i="131"/>
  <c r="G152" i="131"/>
  <c r="H152" i="131"/>
  <c r="U152" i="131"/>
  <c r="V152" i="131"/>
  <c r="G155" i="131"/>
  <c r="H155" i="131"/>
  <c r="U155" i="131"/>
  <c r="V155" i="131"/>
  <c r="W156" i="131"/>
  <c r="W157" i="131"/>
  <c r="W158" i="131"/>
  <c r="W159" i="131"/>
  <c r="W160" i="131"/>
  <c r="G162" i="131"/>
  <c r="H162" i="131"/>
  <c r="U162" i="131"/>
  <c r="V162" i="131"/>
  <c r="G164" i="131"/>
  <c r="H164" i="131"/>
  <c r="U164" i="131"/>
  <c r="V164" i="131"/>
  <c r="W165" i="131"/>
  <c r="W166" i="131"/>
  <c r="G178" i="131"/>
  <c r="H178" i="131"/>
  <c r="H177" i="131" s="1"/>
  <c r="H176" i="131" s="1"/>
  <c r="H175" i="131" s="1"/>
  <c r="U178" i="131"/>
  <c r="U177" i="131" s="1"/>
  <c r="U176" i="131" s="1"/>
  <c r="U175" i="131" s="1"/>
  <c r="V178" i="131"/>
  <c r="V177" i="131" s="1"/>
  <c r="V176" i="131" s="1"/>
  <c r="V175" i="131" s="1"/>
  <c r="G183" i="131"/>
  <c r="G182" i="131" s="1"/>
  <c r="G181" i="131" s="1"/>
  <c r="G2391" i="131" s="1"/>
  <c r="H183" i="131"/>
  <c r="H182" i="131" s="1"/>
  <c r="U183" i="131"/>
  <c r="U182" i="131" s="1"/>
  <c r="U181" i="131" s="1"/>
  <c r="U2391" i="131" s="1"/>
  <c r="V183" i="131"/>
  <c r="V182" i="131" s="1"/>
  <c r="V181" i="131" s="1"/>
  <c r="V2391" i="131" s="1"/>
  <c r="G187" i="131"/>
  <c r="H187" i="131"/>
  <c r="H186" i="131" s="1"/>
  <c r="I299" i="114" s="1"/>
  <c r="U187" i="131"/>
  <c r="U186" i="131" s="1"/>
  <c r="U185" i="131" s="1"/>
  <c r="V187" i="131"/>
  <c r="V186" i="131" s="1"/>
  <c r="V185" i="131" s="1"/>
  <c r="W188" i="131"/>
  <c r="G191" i="131"/>
  <c r="G190" i="131" s="1"/>
  <c r="H191" i="131"/>
  <c r="H190" i="131" s="1"/>
  <c r="U191" i="131"/>
  <c r="U190" i="131" s="1"/>
  <c r="V191" i="131"/>
  <c r="V190" i="131" s="1"/>
  <c r="G194" i="131"/>
  <c r="G193" i="131" s="1"/>
  <c r="H194" i="131"/>
  <c r="H193" i="131" s="1"/>
  <c r="U194" i="131"/>
  <c r="U193" i="131" s="1"/>
  <c r="V194" i="131"/>
  <c r="V193" i="131" s="1"/>
  <c r="G197" i="131"/>
  <c r="H197" i="131"/>
  <c r="H196" i="131" s="1"/>
  <c r="U197" i="131"/>
  <c r="U196" i="131" s="1"/>
  <c r="V197" i="131"/>
  <c r="V196" i="131" s="1"/>
  <c r="G203" i="131"/>
  <c r="H203" i="131"/>
  <c r="H202" i="131" s="1"/>
  <c r="G208" i="131"/>
  <c r="G207" i="131" s="1"/>
  <c r="H208" i="131"/>
  <c r="U208" i="131"/>
  <c r="U207" i="131" s="1"/>
  <c r="U206" i="131" s="1"/>
  <c r="U205" i="131" s="1"/>
  <c r="V208" i="131"/>
  <c r="V207" i="131" s="1"/>
  <c r="V206" i="131" s="1"/>
  <c r="V205" i="131" s="1"/>
  <c r="T209" i="131"/>
  <c r="W209" i="131"/>
  <c r="N211" i="131"/>
  <c r="N210" i="131" s="1"/>
  <c r="G214" i="131"/>
  <c r="H214" i="131"/>
  <c r="H213" i="131" s="1"/>
  <c r="U214" i="131"/>
  <c r="U213" i="131" s="1"/>
  <c r="V214" i="131"/>
  <c r="V213" i="131" s="1"/>
  <c r="G217" i="131"/>
  <c r="H217" i="131"/>
  <c r="H216" i="131" s="1"/>
  <c r="U217" i="131"/>
  <c r="U216" i="131" s="1"/>
  <c r="U212" i="131" s="1"/>
  <c r="V217" i="131"/>
  <c r="V216" i="131" s="1"/>
  <c r="V212" i="131" s="1"/>
  <c r="P218" i="131"/>
  <c r="W218" i="131"/>
  <c r="G220" i="131"/>
  <c r="H220" i="131"/>
  <c r="U220" i="131"/>
  <c r="V220" i="131"/>
  <c r="W221" i="131"/>
  <c r="G222" i="131"/>
  <c r="H222" i="131"/>
  <c r="U222" i="131"/>
  <c r="V222" i="131"/>
  <c r="T223" i="131"/>
  <c r="W223" i="131"/>
  <c r="G229" i="131"/>
  <c r="G228" i="131" s="1"/>
  <c r="H229" i="131"/>
  <c r="H228" i="131" s="1"/>
  <c r="N229" i="131"/>
  <c r="N228" i="131" s="1"/>
  <c r="U229" i="131"/>
  <c r="U228" i="131" s="1"/>
  <c r="V229" i="131"/>
  <c r="V228" i="131" s="1"/>
  <c r="T230" i="131"/>
  <c r="W230" i="131"/>
  <c r="G232" i="131"/>
  <c r="G231" i="131" s="1"/>
  <c r="H232" i="131"/>
  <c r="N232" i="131"/>
  <c r="N231" i="131" s="1"/>
  <c r="U232" i="131"/>
  <c r="U231" i="131" s="1"/>
  <c r="V232" i="131"/>
  <c r="V231" i="131" s="1"/>
  <c r="T233" i="131"/>
  <c r="W233" i="131"/>
  <c r="H236" i="131"/>
  <c r="H235" i="131" s="1"/>
  <c r="I303" i="114" s="1"/>
  <c r="V236" i="131"/>
  <c r="V235" i="131" s="1"/>
  <c r="V234" i="131" s="1"/>
  <c r="G237" i="131"/>
  <c r="G236" i="131" s="1"/>
  <c r="G235" i="131" s="1"/>
  <c r="U237" i="131"/>
  <c r="U236" i="131" s="1"/>
  <c r="U235" i="131" s="1"/>
  <c r="U234" i="131" s="1"/>
  <c r="H241" i="131"/>
  <c r="U241" i="131"/>
  <c r="V241" i="131"/>
  <c r="T242" i="131"/>
  <c r="W242" i="131"/>
  <c r="X242" i="131" s="1"/>
  <c r="T243" i="131"/>
  <c r="W243" i="131"/>
  <c r="T244" i="131"/>
  <c r="W244" i="131"/>
  <c r="X244" i="131" s="1"/>
  <c r="N245" i="131"/>
  <c r="N241" i="131" s="1"/>
  <c r="T245" i="131"/>
  <c r="W245" i="131"/>
  <c r="T246" i="131"/>
  <c r="W246" i="131"/>
  <c r="T247" i="131"/>
  <c r="W247" i="131"/>
  <c r="T248" i="131"/>
  <c r="W248" i="131"/>
  <c r="T249" i="131"/>
  <c r="W249" i="131"/>
  <c r="T250" i="131"/>
  <c r="W250" i="131"/>
  <c r="G251" i="131"/>
  <c r="H251" i="131"/>
  <c r="U251" i="131"/>
  <c r="V251" i="131"/>
  <c r="T252" i="131"/>
  <c r="W252" i="131"/>
  <c r="T253" i="131"/>
  <c r="W253" i="131"/>
  <c r="G254" i="131"/>
  <c r="H254" i="131"/>
  <c r="U254" i="131"/>
  <c r="V254" i="131"/>
  <c r="T255" i="131"/>
  <c r="W255" i="131"/>
  <c r="T256" i="131"/>
  <c r="W256" i="131"/>
  <c r="G257" i="131"/>
  <c r="H257" i="131"/>
  <c r="U257" i="131"/>
  <c r="V257" i="131"/>
  <c r="T258" i="131"/>
  <c r="W258" i="131"/>
  <c r="W259" i="131"/>
  <c r="X259" i="131" s="1"/>
  <c r="G260" i="131"/>
  <c r="H260" i="131"/>
  <c r="N260" i="131"/>
  <c r="U260" i="131"/>
  <c r="V260" i="131"/>
  <c r="T261" i="131"/>
  <c r="W261" i="131"/>
  <c r="N262" i="131"/>
  <c r="U262" i="131"/>
  <c r="V262" i="131"/>
  <c r="T264" i="131"/>
  <c r="W264" i="131"/>
  <c r="X264" i="131" s="1"/>
  <c r="G265" i="131"/>
  <c r="H265" i="131"/>
  <c r="N265" i="131"/>
  <c r="U265" i="131"/>
  <c r="V265" i="131"/>
  <c r="T266" i="131"/>
  <c r="W266" i="131"/>
  <c r="G267" i="131"/>
  <c r="H267" i="131"/>
  <c r="U267" i="131"/>
  <c r="V267" i="131"/>
  <c r="G269" i="131"/>
  <c r="H269" i="131"/>
  <c r="U269" i="131"/>
  <c r="V269" i="131"/>
  <c r="W270" i="131"/>
  <c r="W271" i="131"/>
  <c r="W272" i="131"/>
  <c r="G273" i="131"/>
  <c r="H273" i="131"/>
  <c r="U273" i="131"/>
  <c r="V273" i="131"/>
  <c r="W274" i="131"/>
  <c r="W275" i="131"/>
  <c r="W276" i="131"/>
  <c r="T277" i="131"/>
  <c r="W277" i="131"/>
  <c r="G281" i="131"/>
  <c r="H281" i="131"/>
  <c r="H280" i="131" s="1"/>
  <c r="H279" i="131" s="1"/>
  <c r="H2417" i="131" s="1"/>
  <c r="U281" i="131"/>
  <c r="U280" i="131" s="1"/>
  <c r="U279" i="131" s="1"/>
  <c r="V281" i="131"/>
  <c r="V280" i="131" s="1"/>
  <c r="V279" i="131" s="1"/>
  <c r="T282" i="131"/>
  <c r="W282" i="131"/>
  <c r="G292" i="131"/>
  <c r="H292" i="131"/>
  <c r="G295" i="131"/>
  <c r="H295" i="131"/>
  <c r="N295" i="131"/>
  <c r="N288" i="131" s="1"/>
  <c r="N287" i="131" s="1"/>
  <c r="N286" i="131" s="1"/>
  <c r="U295" i="131"/>
  <c r="V295" i="131"/>
  <c r="T296" i="131"/>
  <c r="W296" i="131"/>
  <c r="G308" i="131"/>
  <c r="H308" i="131"/>
  <c r="U308" i="131"/>
  <c r="V308" i="131"/>
  <c r="W309" i="131"/>
  <c r="W310" i="131"/>
  <c r="W311" i="131"/>
  <c r="G313" i="131"/>
  <c r="H313" i="131"/>
  <c r="U313" i="131"/>
  <c r="U312" i="131" s="1"/>
  <c r="V313" i="131"/>
  <c r="V312" i="131" s="1"/>
  <c r="T314" i="131"/>
  <c r="W314" i="131"/>
  <c r="G316" i="131"/>
  <c r="H316" i="131"/>
  <c r="H315" i="131" s="1"/>
  <c r="U316" i="131"/>
  <c r="U315" i="131" s="1"/>
  <c r="V316" i="131"/>
  <c r="V315" i="131" s="1"/>
  <c r="T317" i="131"/>
  <c r="W317" i="131"/>
  <c r="G320" i="131"/>
  <c r="H320" i="131"/>
  <c r="H319" i="131" s="1"/>
  <c r="H318" i="131" s="1"/>
  <c r="N320" i="131"/>
  <c r="N319" i="131" s="1"/>
  <c r="N318" i="131" s="1"/>
  <c r="U320" i="131"/>
  <c r="U319" i="131" s="1"/>
  <c r="U318" i="131" s="1"/>
  <c r="V320" i="131"/>
  <c r="V319" i="131" s="1"/>
  <c r="V318" i="131" s="1"/>
  <c r="T321" i="131"/>
  <c r="W321" i="131"/>
  <c r="G327" i="131"/>
  <c r="G326" i="131" s="1"/>
  <c r="G322" i="131" s="1"/>
  <c r="H327" i="131"/>
  <c r="G330" i="131"/>
  <c r="H330" i="131"/>
  <c r="N330" i="131"/>
  <c r="U330" i="131"/>
  <c r="V330" i="131"/>
  <c r="T331" i="131"/>
  <c r="W331" i="131"/>
  <c r="G335" i="131"/>
  <c r="H335" i="131"/>
  <c r="U335" i="131"/>
  <c r="V335" i="131"/>
  <c r="N336" i="131"/>
  <c r="N335" i="131" s="1"/>
  <c r="T336" i="131"/>
  <c r="W336" i="131"/>
  <c r="T337" i="131"/>
  <c r="W337" i="131"/>
  <c r="T338" i="131"/>
  <c r="W338" i="131"/>
  <c r="T339" i="131"/>
  <c r="W339" i="131"/>
  <c r="G340" i="131"/>
  <c r="H340" i="131"/>
  <c r="U340" i="131"/>
  <c r="V340" i="131"/>
  <c r="T341" i="131"/>
  <c r="W341" i="131"/>
  <c r="G342" i="131"/>
  <c r="H342" i="131"/>
  <c r="U342" i="131"/>
  <c r="V342" i="131"/>
  <c r="T343" i="131"/>
  <c r="W343" i="131"/>
  <c r="T344" i="131"/>
  <c r="W344" i="131"/>
  <c r="N345" i="131"/>
  <c r="N342" i="131" s="1"/>
  <c r="T345" i="131"/>
  <c r="W345" i="131"/>
  <c r="T346" i="131"/>
  <c r="W346" i="131"/>
  <c r="X346" i="131" s="1"/>
  <c r="T347" i="131"/>
  <c r="W347" i="131"/>
  <c r="T348" i="131"/>
  <c r="W348" i="131"/>
  <c r="T349" i="131"/>
  <c r="W349" i="131"/>
  <c r="T350" i="131"/>
  <c r="W350" i="131"/>
  <c r="G351" i="131"/>
  <c r="H351" i="131"/>
  <c r="N351" i="131"/>
  <c r="U351" i="131"/>
  <c r="V351" i="131"/>
  <c r="T352" i="131"/>
  <c r="W352" i="131"/>
  <c r="G353" i="131"/>
  <c r="H353" i="131"/>
  <c r="U353" i="131"/>
  <c r="V353" i="131"/>
  <c r="W354" i="131"/>
  <c r="W355" i="131"/>
  <c r="W356" i="131"/>
  <c r="U367" i="131"/>
  <c r="V367" i="131"/>
  <c r="W368" i="131"/>
  <c r="G372" i="131"/>
  <c r="H372" i="131"/>
  <c r="N372" i="131"/>
  <c r="U372" i="131"/>
  <c r="V372" i="131"/>
  <c r="T373" i="131"/>
  <c r="W373" i="131"/>
  <c r="G374" i="131"/>
  <c r="H374" i="131"/>
  <c r="N374" i="131"/>
  <c r="U374" i="131"/>
  <c r="V374" i="131"/>
  <c r="T375" i="131"/>
  <c r="W375" i="131"/>
  <c r="G377" i="131"/>
  <c r="H377" i="131"/>
  <c r="N377" i="131"/>
  <c r="U377" i="131"/>
  <c r="V377" i="131"/>
  <c r="T378" i="131"/>
  <c r="W378" i="131"/>
  <c r="G379" i="131"/>
  <c r="H379" i="131"/>
  <c r="N379" i="131"/>
  <c r="U379" i="131"/>
  <c r="V379" i="131"/>
  <c r="T380" i="131"/>
  <c r="W380" i="131"/>
  <c r="G384" i="131"/>
  <c r="G383" i="131" s="1"/>
  <c r="H384" i="131"/>
  <c r="U384" i="131"/>
  <c r="U383" i="131" s="1"/>
  <c r="V384" i="131"/>
  <c r="V383" i="131" s="1"/>
  <c r="W385" i="131"/>
  <c r="G387" i="131"/>
  <c r="H387" i="131"/>
  <c r="U387" i="131"/>
  <c r="U386" i="131" s="1"/>
  <c r="V387" i="131"/>
  <c r="V386" i="131" s="1"/>
  <c r="W388" i="131"/>
  <c r="G390" i="131"/>
  <c r="G389" i="131" s="1"/>
  <c r="H243" i="114" s="1"/>
  <c r="H242" i="114" s="1"/>
  <c r="H390" i="131"/>
  <c r="H389" i="131" s="1"/>
  <c r="U390" i="131"/>
  <c r="U389" i="131" s="1"/>
  <c r="V390" i="131"/>
  <c r="V389" i="131" s="1"/>
  <c r="W391" i="131"/>
  <c r="G393" i="131"/>
  <c r="G392" i="131" s="1"/>
  <c r="H245" i="114" s="1"/>
  <c r="H244" i="114" s="1"/>
  <c r="H393" i="131"/>
  <c r="H392" i="131" s="1"/>
  <c r="U393" i="131"/>
  <c r="U392" i="131" s="1"/>
  <c r="V393" i="131"/>
  <c r="V392" i="131" s="1"/>
  <c r="W394" i="131"/>
  <c r="G397" i="131"/>
  <c r="H397" i="131"/>
  <c r="H396" i="131" s="1"/>
  <c r="U397" i="131"/>
  <c r="U396" i="131" s="1"/>
  <c r="V397" i="131"/>
  <c r="V396" i="131" s="1"/>
  <c r="G400" i="131"/>
  <c r="H400" i="131"/>
  <c r="H399" i="131" s="1"/>
  <c r="U400" i="131"/>
  <c r="U399" i="131" s="1"/>
  <c r="V400" i="131"/>
  <c r="V399" i="131" s="1"/>
  <c r="T401" i="131"/>
  <c r="W401" i="131"/>
  <c r="G403" i="131"/>
  <c r="H403" i="131"/>
  <c r="U403" i="131"/>
  <c r="V403" i="131"/>
  <c r="G405" i="131"/>
  <c r="H405" i="131"/>
  <c r="U405" i="131"/>
  <c r="U402" i="131" s="1"/>
  <c r="V405" i="131"/>
  <c r="V402" i="131" s="1"/>
  <c r="T406" i="131"/>
  <c r="W406" i="131"/>
  <c r="G408" i="131"/>
  <c r="G407" i="131" s="1"/>
  <c r="H255" i="114" s="1"/>
  <c r="H254" i="114" s="1"/>
  <c r="H408" i="131"/>
  <c r="H407" i="131" s="1"/>
  <c r="U408" i="131"/>
  <c r="U407" i="131" s="1"/>
  <c r="V408" i="131"/>
  <c r="V407" i="131" s="1"/>
  <c r="T409" i="131"/>
  <c r="W409" i="131"/>
  <c r="G411" i="131"/>
  <c r="H411" i="131"/>
  <c r="U411" i="131"/>
  <c r="U410" i="131" s="1"/>
  <c r="V411" i="131"/>
  <c r="V410" i="131" s="1"/>
  <c r="T412" i="131"/>
  <c r="W412" i="131"/>
  <c r="U414" i="131"/>
  <c r="U413" i="131" s="1"/>
  <c r="V414" i="131"/>
  <c r="V413" i="131" s="1"/>
  <c r="T416" i="131"/>
  <c r="W416" i="131"/>
  <c r="H428" i="131"/>
  <c r="L428" i="131" s="1"/>
  <c r="N428" i="131"/>
  <c r="N427" i="131" s="1"/>
  <c r="U428" i="131"/>
  <c r="V428" i="131"/>
  <c r="G430" i="131"/>
  <c r="H430" i="131"/>
  <c r="U430" i="131"/>
  <c r="V430" i="131"/>
  <c r="T431" i="131"/>
  <c r="W431" i="131"/>
  <c r="H433" i="131"/>
  <c r="H432" i="131" s="1"/>
  <c r="N433" i="131"/>
  <c r="N432" i="131" s="1"/>
  <c r="V433" i="131"/>
  <c r="V432" i="131" s="1"/>
  <c r="U434" i="131"/>
  <c r="U433" i="131" s="1"/>
  <c r="U432" i="131" s="1"/>
  <c r="G436" i="131"/>
  <c r="K436" i="131" s="1"/>
  <c r="M436" i="131" s="1"/>
  <c r="H436" i="131"/>
  <c r="N436" i="131"/>
  <c r="N435" i="131" s="1"/>
  <c r="U436" i="131"/>
  <c r="V436" i="131"/>
  <c r="T437" i="131"/>
  <c r="W437" i="131"/>
  <c r="G438" i="131"/>
  <c r="H438" i="131"/>
  <c r="U438" i="131"/>
  <c r="V438" i="131"/>
  <c r="T439" i="131"/>
  <c r="W439" i="131"/>
  <c r="U445" i="131"/>
  <c r="U444" i="131" s="1"/>
  <c r="U443" i="131" s="1"/>
  <c r="V445" i="131"/>
  <c r="V444" i="131" s="1"/>
  <c r="V443" i="131" s="1"/>
  <c r="T446" i="131"/>
  <c r="W446" i="131"/>
  <c r="X446" i="131" s="1"/>
  <c r="G450" i="131"/>
  <c r="G449" i="131" s="1"/>
  <c r="H450" i="131"/>
  <c r="U450" i="131"/>
  <c r="U449" i="131" s="1"/>
  <c r="V450" i="131"/>
  <c r="V449" i="131" s="1"/>
  <c r="T451" i="131"/>
  <c r="W451" i="131"/>
  <c r="G453" i="131"/>
  <c r="G452" i="131" s="1"/>
  <c r="H453" i="131"/>
  <c r="H452" i="131" s="1"/>
  <c r="U453" i="131"/>
  <c r="U452" i="131" s="1"/>
  <c r="V453" i="131"/>
  <c r="V452" i="131" s="1"/>
  <c r="T454" i="131"/>
  <c r="W454" i="131"/>
  <c r="G456" i="131"/>
  <c r="H456" i="131"/>
  <c r="H455" i="131" s="1"/>
  <c r="U456" i="131"/>
  <c r="U455" i="131" s="1"/>
  <c r="V456" i="131"/>
  <c r="V455" i="131" s="1"/>
  <c r="T457" i="131"/>
  <c r="W457" i="131"/>
  <c r="G459" i="131"/>
  <c r="H459" i="131"/>
  <c r="U459" i="131"/>
  <c r="V459" i="131"/>
  <c r="T460" i="131"/>
  <c r="W460" i="131"/>
  <c r="G461" i="131"/>
  <c r="H461" i="131"/>
  <c r="U461" i="131"/>
  <c r="V461" i="131"/>
  <c r="T462" i="131"/>
  <c r="W462" i="131"/>
  <c r="G464" i="131"/>
  <c r="G463" i="131" s="1"/>
  <c r="H464" i="131"/>
  <c r="U464" i="131"/>
  <c r="U463" i="131" s="1"/>
  <c r="V464" i="131"/>
  <c r="V463" i="131" s="1"/>
  <c r="T465" i="131"/>
  <c r="W465" i="131"/>
  <c r="N466" i="131"/>
  <c r="G467" i="131"/>
  <c r="G466" i="131" s="1"/>
  <c r="H467" i="131"/>
  <c r="H466" i="131" s="1"/>
  <c r="U467" i="131"/>
  <c r="U466" i="131" s="1"/>
  <c r="V467" i="131"/>
  <c r="V466" i="131" s="1"/>
  <c r="T468" i="131"/>
  <c r="W468" i="131"/>
  <c r="X468" i="131" s="1"/>
  <c r="G473" i="131"/>
  <c r="H473" i="131"/>
  <c r="H472" i="131" s="1"/>
  <c r="H471" i="131" s="1"/>
  <c r="H470" i="131" s="1"/>
  <c r="H469" i="131" s="1"/>
  <c r="U473" i="131"/>
  <c r="U472" i="131" s="1"/>
  <c r="U471" i="131" s="1"/>
  <c r="U470" i="131" s="1"/>
  <c r="U469" i="131" s="1"/>
  <c r="V473" i="131"/>
  <c r="V472" i="131" s="1"/>
  <c r="V471" i="131" s="1"/>
  <c r="V470" i="131" s="1"/>
  <c r="V469" i="131" s="1"/>
  <c r="T474" i="131"/>
  <c r="W474" i="131"/>
  <c r="G478" i="131"/>
  <c r="H478" i="131"/>
  <c r="U478" i="131"/>
  <c r="V478" i="131"/>
  <c r="T479" i="131"/>
  <c r="W479" i="131"/>
  <c r="X479" i="131" s="1"/>
  <c r="G480" i="131"/>
  <c r="T480" i="131" s="1"/>
  <c r="H480" i="131"/>
  <c r="U480" i="131"/>
  <c r="V480" i="131"/>
  <c r="T481" i="131"/>
  <c r="W481" i="131"/>
  <c r="G482" i="131"/>
  <c r="H482" i="131"/>
  <c r="U482" i="131"/>
  <c r="V482" i="131"/>
  <c r="T483" i="131"/>
  <c r="W483" i="131"/>
  <c r="X483" i="131" s="1"/>
  <c r="G492" i="131"/>
  <c r="H492" i="131"/>
  <c r="U492" i="131"/>
  <c r="V492" i="131"/>
  <c r="T493" i="131"/>
  <c r="W493" i="131"/>
  <c r="G494" i="131"/>
  <c r="H494" i="131"/>
  <c r="U494" i="131"/>
  <c r="V494" i="131"/>
  <c r="T495" i="131"/>
  <c r="W495" i="131"/>
  <c r="G499" i="131"/>
  <c r="G498" i="131" s="1"/>
  <c r="G497" i="131" s="1"/>
  <c r="G496" i="131" s="1"/>
  <c r="H499" i="131"/>
  <c r="H498" i="131" s="1"/>
  <c r="H497" i="131" s="1"/>
  <c r="H496" i="131" s="1"/>
  <c r="U499" i="131"/>
  <c r="U498" i="131" s="1"/>
  <c r="U497" i="131" s="1"/>
  <c r="U496" i="131" s="1"/>
  <c r="V499" i="131"/>
  <c r="V498" i="131" s="1"/>
  <c r="V497" i="131" s="1"/>
  <c r="V496" i="131" s="1"/>
  <c r="G503" i="131"/>
  <c r="H503" i="131"/>
  <c r="H502" i="131" s="1"/>
  <c r="U503" i="131"/>
  <c r="U502" i="131" s="1"/>
  <c r="V503" i="131"/>
  <c r="V502" i="131" s="1"/>
  <c r="T504" i="131"/>
  <c r="W504" i="131"/>
  <c r="G506" i="131"/>
  <c r="G505" i="131" s="1"/>
  <c r="H506" i="131"/>
  <c r="H505" i="131" s="1"/>
  <c r="U506" i="131"/>
  <c r="U505" i="131" s="1"/>
  <c r="V506" i="131"/>
  <c r="V505" i="131" s="1"/>
  <c r="T507" i="131"/>
  <c r="W507" i="131"/>
  <c r="X507" i="131" s="1"/>
  <c r="G509" i="131"/>
  <c r="H509" i="131"/>
  <c r="U509" i="131"/>
  <c r="U508" i="131" s="1"/>
  <c r="V509" i="131"/>
  <c r="V508" i="131" s="1"/>
  <c r="W510" i="131"/>
  <c r="G512" i="131"/>
  <c r="G511" i="131" s="1"/>
  <c r="H512" i="131"/>
  <c r="U512" i="131"/>
  <c r="U511" i="131" s="1"/>
  <c r="V512" i="131"/>
  <c r="V511" i="131" s="1"/>
  <c r="T513" i="131"/>
  <c r="W513" i="131"/>
  <c r="G515" i="131"/>
  <c r="H515" i="131"/>
  <c r="H514" i="131" s="1"/>
  <c r="U515" i="131"/>
  <c r="U514" i="131" s="1"/>
  <c r="V515" i="131"/>
  <c r="V514" i="131" s="1"/>
  <c r="T516" i="131"/>
  <c r="W516" i="131"/>
  <c r="G518" i="131"/>
  <c r="H518" i="131"/>
  <c r="N518" i="131"/>
  <c r="N517" i="131" s="1"/>
  <c r="N489" i="131" s="1"/>
  <c r="N488" i="131" s="1"/>
  <c r="U518" i="131"/>
  <c r="V518" i="131"/>
  <c r="T519" i="131"/>
  <c r="W519" i="131"/>
  <c r="X519" i="131" s="1"/>
  <c r="G520" i="131"/>
  <c r="W520" i="131" s="1"/>
  <c r="H520" i="131"/>
  <c r="U520" i="131"/>
  <c r="V520" i="131"/>
  <c r="T521" i="131"/>
  <c r="W521" i="131"/>
  <c r="G522" i="131"/>
  <c r="H522" i="131"/>
  <c r="U522" i="131"/>
  <c r="V522" i="131"/>
  <c r="T523" i="131"/>
  <c r="W523" i="131"/>
  <c r="X523" i="131" s="1"/>
  <c r="G524" i="131"/>
  <c r="K524" i="131" s="1"/>
  <c r="M524" i="131" s="1"/>
  <c r="H524" i="131"/>
  <c r="U524" i="131"/>
  <c r="V524" i="131"/>
  <c r="T525" i="131"/>
  <c r="W525" i="131"/>
  <c r="N528" i="131"/>
  <c r="G529" i="131"/>
  <c r="G528" i="131" s="1"/>
  <c r="G527" i="131" s="1"/>
  <c r="H529" i="131"/>
  <c r="U529" i="131"/>
  <c r="U528" i="131" s="1"/>
  <c r="U527" i="131" s="1"/>
  <c r="V529" i="131"/>
  <c r="V528" i="131" s="1"/>
  <c r="V527" i="131" s="1"/>
  <c r="N530" i="131"/>
  <c r="N529" i="131"/>
  <c r="T530" i="131"/>
  <c r="W530" i="131"/>
  <c r="T531" i="131"/>
  <c r="W531" i="131"/>
  <c r="T532" i="131"/>
  <c r="W532" i="131"/>
  <c r="T533" i="131"/>
  <c r="W533" i="131"/>
  <c r="N534" i="131"/>
  <c r="H539" i="131"/>
  <c r="N539" i="131"/>
  <c r="U539" i="131"/>
  <c r="V539" i="131"/>
  <c r="G541" i="131"/>
  <c r="H541" i="131"/>
  <c r="U541" i="131"/>
  <c r="V541" i="131"/>
  <c r="T542" i="131"/>
  <c r="W542" i="131"/>
  <c r="G543" i="131"/>
  <c r="W543" i="131" s="1"/>
  <c r="H543" i="131"/>
  <c r="N543" i="131"/>
  <c r="U543" i="131"/>
  <c r="V543" i="131"/>
  <c r="T544" i="131"/>
  <c r="W544" i="131"/>
  <c r="G545" i="131"/>
  <c r="H545" i="131"/>
  <c r="U545" i="131"/>
  <c r="V545" i="131"/>
  <c r="W546" i="131"/>
  <c r="G547" i="131"/>
  <c r="W547" i="131" s="1"/>
  <c r="H547" i="131"/>
  <c r="U547" i="131"/>
  <c r="V547" i="131"/>
  <c r="T548" i="131"/>
  <c r="W548" i="131"/>
  <c r="G549" i="131"/>
  <c r="H549" i="131"/>
  <c r="U549" i="131"/>
  <c r="V549" i="131"/>
  <c r="W550" i="131"/>
  <c r="G553" i="131"/>
  <c r="H87" i="114" s="1"/>
  <c r="H86" i="114" s="1"/>
  <c r="H553" i="131"/>
  <c r="N553" i="131"/>
  <c r="N552" i="131" s="1"/>
  <c r="N551" i="131" s="1"/>
  <c r="U553" i="131"/>
  <c r="U552" i="131" s="1"/>
  <c r="U551" i="131" s="1"/>
  <c r="V553" i="131"/>
  <c r="V552" i="131" s="1"/>
  <c r="V551" i="131" s="1"/>
  <c r="T554" i="131"/>
  <c r="W554" i="131"/>
  <c r="G563" i="131"/>
  <c r="H563" i="131"/>
  <c r="H562" i="131" s="1"/>
  <c r="N563" i="131"/>
  <c r="U563" i="131"/>
  <c r="U562" i="131" s="1"/>
  <c r="V563" i="131"/>
  <c r="V562" i="131" s="1"/>
  <c r="T564" i="131"/>
  <c r="W564" i="131"/>
  <c r="G570" i="131"/>
  <c r="H570" i="131"/>
  <c r="N570" i="131"/>
  <c r="U570" i="131"/>
  <c r="V570" i="131"/>
  <c r="T571" i="131"/>
  <c r="W571" i="131"/>
  <c r="G574" i="131"/>
  <c r="W574" i="131" s="1"/>
  <c r="H574" i="131"/>
  <c r="N574" i="131"/>
  <c r="U574" i="131"/>
  <c r="V574" i="131"/>
  <c r="T575" i="131"/>
  <c r="W575" i="131"/>
  <c r="G576" i="131"/>
  <c r="H576" i="131"/>
  <c r="N576" i="131"/>
  <c r="U576" i="131"/>
  <c r="V576" i="131"/>
  <c r="T577" i="131"/>
  <c r="W577" i="131"/>
  <c r="G578" i="131"/>
  <c r="H578" i="131"/>
  <c r="N578" i="131"/>
  <c r="U578" i="131"/>
  <c r="V578" i="131"/>
  <c r="T579" i="131"/>
  <c r="W579" i="131"/>
  <c r="X579" i="131" s="1"/>
  <c r="G580" i="131"/>
  <c r="H580" i="131"/>
  <c r="N580" i="131"/>
  <c r="U580" i="131"/>
  <c r="V580" i="131"/>
  <c r="T581" i="131"/>
  <c r="W581" i="131"/>
  <c r="G582" i="131"/>
  <c r="W582" i="131" s="1"/>
  <c r="H582" i="131"/>
  <c r="U582" i="131"/>
  <c r="V582" i="131"/>
  <c r="T583" i="131"/>
  <c r="W583" i="131"/>
  <c r="G584" i="131"/>
  <c r="H584" i="131"/>
  <c r="U584" i="131"/>
  <c r="V584" i="131"/>
  <c r="T585" i="131"/>
  <c r="W585" i="131"/>
  <c r="G586" i="131"/>
  <c r="H586" i="131"/>
  <c r="U586" i="131"/>
  <c r="V586" i="131"/>
  <c r="T587" i="131"/>
  <c r="W587" i="131"/>
  <c r="G588" i="131"/>
  <c r="H588" i="131"/>
  <c r="U588" i="131"/>
  <c r="V588" i="131"/>
  <c r="W589" i="131"/>
  <c r="G591" i="131"/>
  <c r="H591" i="131"/>
  <c r="U591" i="131"/>
  <c r="V591" i="131"/>
  <c r="N592" i="131"/>
  <c r="N591" i="131"/>
  <c r="T592" i="131"/>
  <c r="W592" i="131"/>
  <c r="T593" i="131"/>
  <c r="W593" i="131"/>
  <c r="G594" i="131"/>
  <c r="H594" i="131"/>
  <c r="U594" i="131"/>
  <c r="V594" i="131"/>
  <c r="N595" i="131"/>
  <c r="N594" i="131" s="1"/>
  <c r="W595" i="131"/>
  <c r="G598" i="131"/>
  <c r="H598" i="131"/>
  <c r="V598" i="131"/>
  <c r="U599" i="131"/>
  <c r="U598" i="131" s="1"/>
  <c r="G600" i="131"/>
  <c r="H600" i="131"/>
  <c r="N600" i="131"/>
  <c r="U600" i="131"/>
  <c r="V600" i="131"/>
  <c r="P602" i="131"/>
  <c r="T602" i="131"/>
  <c r="W602" i="131"/>
  <c r="G603" i="131"/>
  <c r="H603" i="131"/>
  <c r="U603" i="131"/>
  <c r="V603" i="131"/>
  <c r="W604" i="131"/>
  <c r="G605" i="131"/>
  <c r="K605" i="131" s="1"/>
  <c r="H605" i="131"/>
  <c r="U608" i="131"/>
  <c r="U607" i="131" s="1"/>
  <c r="V608" i="131"/>
  <c r="V607" i="131" s="1"/>
  <c r="U616" i="131"/>
  <c r="U612" i="131" s="1"/>
  <c r="V616" i="131"/>
  <c r="V612" i="131" s="1"/>
  <c r="G622" i="131"/>
  <c r="G621" i="131" s="1"/>
  <c r="H622" i="131"/>
  <c r="H621" i="131" s="1"/>
  <c r="U622" i="131"/>
  <c r="U621" i="131" s="1"/>
  <c r="V622" i="131"/>
  <c r="V621" i="131" s="1"/>
  <c r="G626" i="131"/>
  <c r="K626" i="131" s="1"/>
  <c r="M626" i="131" s="1"/>
  <c r="H626" i="131"/>
  <c r="U626" i="131"/>
  <c r="U625" i="131" s="1"/>
  <c r="V626" i="131"/>
  <c r="V625" i="131" s="1"/>
  <c r="G632" i="131"/>
  <c r="T632" i="131" s="1"/>
  <c r="H632" i="131"/>
  <c r="U632" i="131"/>
  <c r="V632" i="131"/>
  <c r="T633" i="131"/>
  <c r="W633" i="131"/>
  <c r="G634" i="131"/>
  <c r="H634" i="131"/>
  <c r="U634" i="131"/>
  <c r="V634" i="131"/>
  <c r="T635" i="131"/>
  <c r="W635" i="131"/>
  <c r="G637" i="131"/>
  <c r="H637" i="131"/>
  <c r="H636" i="131" s="1"/>
  <c r="U637" i="131"/>
  <c r="U636" i="131" s="1"/>
  <c r="V637" i="131"/>
  <c r="V636" i="131" s="1"/>
  <c r="W638" i="131"/>
  <c r="G640" i="131"/>
  <c r="G639" i="131" s="1"/>
  <c r="H640" i="131"/>
  <c r="H639" i="131" s="1"/>
  <c r="U640" i="131"/>
  <c r="U639" i="131" s="1"/>
  <c r="V640" i="131"/>
  <c r="V639" i="131" s="1"/>
  <c r="G643" i="131"/>
  <c r="H643" i="131"/>
  <c r="H642" i="131" s="1"/>
  <c r="U643" i="131"/>
  <c r="U642" i="131" s="1"/>
  <c r="V643" i="131"/>
  <c r="V642" i="131" s="1"/>
  <c r="G647" i="131"/>
  <c r="G646" i="131" s="1"/>
  <c r="G645" i="131" s="1"/>
  <c r="H647" i="131"/>
  <c r="H646" i="131" s="1"/>
  <c r="N647" i="131"/>
  <c r="N646" i="131" s="1"/>
  <c r="N645" i="131" s="1"/>
  <c r="U647" i="131"/>
  <c r="U646" i="131" s="1"/>
  <c r="U645" i="131" s="1"/>
  <c r="V647" i="131"/>
  <c r="V646" i="131" s="1"/>
  <c r="V645" i="131" s="1"/>
  <c r="T648" i="131"/>
  <c r="W648" i="131"/>
  <c r="N669" i="131"/>
  <c r="N668" i="131" s="1"/>
  <c r="G670" i="131"/>
  <c r="H670" i="131"/>
  <c r="H669" i="131" s="1"/>
  <c r="U670" i="131"/>
  <c r="U669" i="131" s="1"/>
  <c r="U668" i="131" s="1"/>
  <c r="V670" i="131"/>
  <c r="V669" i="131" s="1"/>
  <c r="V668" i="131" s="1"/>
  <c r="T671" i="131"/>
  <c r="W671" i="131"/>
  <c r="U674" i="131"/>
  <c r="U673" i="131" s="1"/>
  <c r="U672" i="131" s="1"/>
  <c r="V674" i="131"/>
  <c r="V673" i="131" s="1"/>
  <c r="V672" i="131" s="1"/>
  <c r="P675" i="131"/>
  <c r="U682" i="131"/>
  <c r="V682" i="131"/>
  <c r="G685" i="131"/>
  <c r="H685" i="131"/>
  <c r="U685" i="131"/>
  <c r="V685" i="131"/>
  <c r="G687" i="131"/>
  <c r="G677" i="131" s="1"/>
  <c r="H687" i="131"/>
  <c r="U687" i="131"/>
  <c r="V687" i="131"/>
  <c r="G693" i="131"/>
  <c r="H693" i="131"/>
  <c r="H692" i="131" s="1"/>
  <c r="H691" i="131" s="1"/>
  <c r="U693" i="131"/>
  <c r="U692" i="131" s="1"/>
  <c r="U691" i="131" s="1"/>
  <c r="V693" i="131"/>
  <c r="V692" i="131" s="1"/>
  <c r="V691" i="131" s="1"/>
  <c r="G697" i="131"/>
  <c r="H697" i="131"/>
  <c r="U697" i="131"/>
  <c r="V697" i="131"/>
  <c r="N698" i="131"/>
  <c r="N697" i="131" s="1"/>
  <c r="T698" i="131"/>
  <c r="W698" i="131"/>
  <c r="T699" i="131"/>
  <c r="W699" i="131"/>
  <c r="T700" i="131"/>
  <c r="W700" i="131"/>
  <c r="T701" i="131"/>
  <c r="W701" i="131"/>
  <c r="T702" i="131"/>
  <c r="W702" i="131"/>
  <c r="G703" i="131"/>
  <c r="H703" i="131"/>
  <c r="U703" i="131"/>
  <c r="V703" i="131"/>
  <c r="N704" i="131"/>
  <c r="N703" i="131" s="1"/>
  <c r="T704" i="131"/>
  <c r="W704" i="131"/>
  <c r="T705" i="131"/>
  <c r="W705" i="131"/>
  <c r="G706" i="131"/>
  <c r="H706" i="131"/>
  <c r="U706" i="131"/>
  <c r="V706" i="131"/>
  <c r="W707" i="131"/>
  <c r="W708" i="131"/>
  <c r="W709" i="131"/>
  <c r="W710" i="131"/>
  <c r="G718" i="131"/>
  <c r="G717" i="131" s="1"/>
  <c r="G716" i="131" s="1"/>
  <c r="H718" i="131"/>
  <c r="H717" i="131" s="1"/>
  <c r="U718" i="131"/>
  <c r="U717" i="131" s="1"/>
  <c r="U716" i="131" s="1"/>
  <c r="P719" i="131"/>
  <c r="V719" i="131"/>
  <c r="V718" i="131" s="1"/>
  <c r="V717" i="131" s="1"/>
  <c r="V716" i="131" s="1"/>
  <c r="G721" i="131"/>
  <c r="H721" i="131"/>
  <c r="N721" i="131"/>
  <c r="U721" i="131"/>
  <c r="V721" i="131"/>
  <c r="T722" i="131"/>
  <c r="W722" i="131"/>
  <c r="U723" i="131"/>
  <c r="V723" i="131"/>
  <c r="G726" i="131"/>
  <c r="K726" i="131" s="1"/>
  <c r="M726" i="131" s="1"/>
  <c r="H726" i="131"/>
  <c r="U726" i="131"/>
  <c r="V726" i="131"/>
  <c r="G728" i="131"/>
  <c r="H728" i="131"/>
  <c r="U728" i="131"/>
  <c r="V728" i="131"/>
  <c r="T729" i="131"/>
  <c r="W729" i="131"/>
  <c r="G730" i="131"/>
  <c r="K730" i="131" s="1"/>
  <c r="H730" i="131"/>
  <c r="U730" i="131"/>
  <c r="V730" i="131"/>
  <c r="W731" i="131"/>
  <c r="G732" i="131"/>
  <c r="H732" i="131"/>
  <c r="N732" i="131"/>
  <c r="U732" i="131"/>
  <c r="V732" i="131"/>
  <c r="T733" i="131"/>
  <c r="W733" i="131"/>
  <c r="H734" i="131"/>
  <c r="U734" i="131"/>
  <c r="V734" i="131"/>
  <c r="W735" i="131"/>
  <c r="G736" i="131"/>
  <c r="H736" i="131"/>
  <c r="U736" i="131"/>
  <c r="V736" i="131"/>
  <c r="T737" i="131"/>
  <c r="W737" i="131"/>
  <c r="N741" i="131"/>
  <c r="N740" i="131" s="1"/>
  <c r="N739" i="131" s="1"/>
  <c r="N738" i="131" s="1"/>
  <c r="U741" i="131"/>
  <c r="U740" i="131" s="1"/>
  <c r="U739" i="131" s="1"/>
  <c r="U738" i="131" s="1"/>
  <c r="V741" i="131"/>
  <c r="V740" i="131" s="1"/>
  <c r="V739" i="131" s="1"/>
  <c r="V738" i="131" s="1"/>
  <c r="T743" i="131"/>
  <c r="W743" i="131"/>
  <c r="T744" i="131"/>
  <c r="W744" i="131"/>
  <c r="G750" i="131"/>
  <c r="H750" i="131"/>
  <c r="N750" i="131"/>
  <c r="U750" i="131"/>
  <c r="V750" i="131"/>
  <c r="T751" i="131"/>
  <c r="W751" i="131"/>
  <c r="G752" i="131"/>
  <c r="H752" i="131"/>
  <c r="N752" i="131"/>
  <c r="U752" i="131"/>
  <c r="V752" i="131"/>
  <c r="T753" i="131"/>
  <c r="W753" i="131"/>
  <c r="G756" i="131"/>
  <c r="G755" i="131" s="1"/>
  <c r="H756" i="131"/>
  <c r="H755" i="131" s="1"/>
  <c r="U756" i="131"/>
  <c r="U755" i="131" s="1"/>
  <c r="U754" i="131" s="1"/>
  <c r="V756" i="131"/>
  <c r="V755" i="131" s="1"/>
  <c r="V754" i="131" s="1"/>
  <c r="G760" i="131"/>
  <c r="H760" i="131"/>
  <c r="H759" i="131" s="1"/>
  <c r="U760" i="131"/>
  <c r="U759" i="131" s="1"/>
  <c r="V760" i="131"/>
  <c r="V759" i="131" s="1"/>
  <c r="W761" i="131"/>
  <c r="N762" i="131"/>
  <c r="H763" i="131"/>
  <c r="H762" i="131" s="1"/>
  <c r="I89" i="114" s="1"/>
  <c r="V763" i="131"/>
  <c r="V762" i="131" s="1"/>
  <c r="G764" i="131"/>
  <c r="G763" i="131" s="1"/>
  <c r="U764" i="131"/>
  <c r="U763" i="131" s="1"/>
  <c r="U762" i="131" s="1"/>
  <c r="G766" i="131"/>
  <c r="H766" i="131"/>
  <c r="H765" i="131" s="1"/>
  <c r="U766" i="131"/>
  <c r="U765" i="131" s="1"/>
  <c r="V766" i="131"/>
  <c r="V765" i="131" s="1"/>
  <c r="W767" i="131"/>
  <c r="G770" i="131"/>
  <c r="H770" i="131"/>
  <c r="U770" i="131"/>
  <c r="V770" i="131"/>
  <c r="G772" i="131"/>
  <c r="H772" i="131"/>
  <c r="U772" i="131"/>
  <c r="V772" i="131"/>
  <c r="G774" i="131"/>
  <c r="H774" i="131"/>
  <c r="U774" i="131"/>
  <c r="V774" i="131"/>
  <c r="W775" i="131"/>
  <c r="G778" i="131"/>
  <c r="H778" i="131"/>
  <c r="H777" i="131" s="1"/>
  <c r="U778" i="131"/>
  <c r="U777" i="131" s="1"/>
  <c r="V778" i="131"/>
  <c r="V777" i="131" s="1"/>
  <c r="T779" i="131"/>
  <c r="W779" i="131"/>
  <c r="G781" i="131"/>
  <c r="H781" i="131"/>
  <c r="U781" i="131"/>
  <c r="V781" i="131"/>
  <c r="T782" i="131"/>
  <c r="W782" i="131"/>
  <c r="G783" i="131"/>
  <c r="K783" i="131" s="1"/>
  <c r="H783" i="131"/>
  <c r="U783" i="131"/>
  <c r="V783" i="131"/>
  <c r="T784" i="131"/>
  <c r="W784" i="131"/>
  <c r="G785" i="131"/>
  <c r="H785" i="131"/>
  <c r="U785" i="131"/>
  <c r="V785" i="131"/>
  <c r="T786" i="131"/>
  <c r="W786" i="131"/>
  <c r="G789" i="131"/>
  <c r="G788" i="131" s="1"/>
  <c r="H789" i="131"/>
  <c r="H788" i="131" s="1"/>
  <c r="H787" i="131" s="1"/>
  <c r="U789" i="131"/>
  <c r="U788" i="131" s="1"/>
  <c r="U787" i="131" s="1"/>
  <c r="V789" i="131"/>
  <c r="V788" i="131" s="1"/>
  <c r="V787" i="131" s="1"/>
  <c r="G792" i="131"/>
  <c r="H792" i="131"/>
  <c r="N792" i="131"/>
  <c r="U792" i="131"/>
  <c r="V792" i="131"/>
  <c r="T793" i="131"/>
  <c r="W793" i="131"/>
  <c r="G795" i="131"/>
  <c r="G794" i="131" s="1"/>
  <c r="H795" i="131"/>
  <c r="H794" i="131" s="1"/>
  <c r="N795" i="131"/>
  <c r="N794" i="131" s="1"/>
  <c r="U795" i="131"/>
  <c r="U794" i="131" s="1"/>
  <c r="V795" i="131"/>
  <c r="V794" i="131" s="1"/>
  <c r="T796" i="131"/>
  <c r="W796" i="131"/>
  <c r="G797" i="131"/>
  <c r="H797" i="131"/>
  <c r="N797" i="131"/>
  <c r="U797" i="131"/>
  <c r="V797" i="131"/>
  <c r="T798" i="131"/>
  <c r="W798" i="131"/>
  <c r="G799" i="131"/>
  <c r="K799" i="131" s="1"/>
  <c r="H799" i="131"/>
  <c r="U799" i="131"/>
  <c r="V799" i="131"/>
  <c r="W800" i="131"/>
  <c r="G801" i="131"/>
  <c r="H801" i="131"/>
  <c r="U801" i="131"/>
  <c r="V801" i="131"/>
  <c r="W802" i="131"/>
  <c r="G808" i="131"/>
  <c r="H808" i="131"/>
  <c r="H807" i="131" s="1"/>
  <c r="H806" i="131" s="1"/>
  <c r="U808" i="131"/>
  <c r="U807" i="131" s="1"/>
  <c r="U806" i="131" s="1"/>
  <c r="V808" i="131"/>
  <c r="V807" i="131" s="1"/>
  <c r="V806" i="131" s="1"/>
  <c r="T809" i="131"/>
  <c r="W809" i="131"/>
  <c r="H813" i="131"/>
  <c r="N813" i="131"/>
  <c r="U813" i="131"/>
  <c r="V813" i="131"/>
  <c r="W815" i="131"/>
  <c r="T816" i="131"/>
  <c r="W816" i="131"/>
  <c r="G818" i="131"/>
  <c r="W818" i="131" s="1"/>
  <c r="H818" i="131"/>
  <c r="U818" i="131"/>
  <c r="V818" i="131"/>
  <c r="W819" i="131"/>
  <c r="W820" i="131"/>
  <c r="G827" i="131"/>
  <c r="K827" i="131" s="1"/>
  <c r="H827" i="131"/>
  <c r="U827" i="131"/>
  <c r="V827" i="131"/>
  <c r="N828" i="131"/>
  <c r="N827" i="131" s="1"/>
  <c r="T828" i="131"/>
  <c r="W828" i="131"/>
  <c r="T829" i="131"/>
  <c r="W829" i="131"/>
  <c r="G830" i="131"/>
  <c r="W830" i="131" s="1"/>
  <c r="H830" i="131"/>
  <c r="N830" i="131"/>
  <c r="U830" i="131"/>
  <c r="V830" i="131"/>
  <c r="T831" i="131"/>
  <c r="W831" i="131"/>
  <c r="T832" i="131"/>
  <c r="W832" i="131"/>
  <c r="G833" i="131"/>
  <c r="H833" i="131"/>
  <c r="U833" i="131"/>
  <c r="V833" i="131"/>
  <c r="W834" i="131"/>
  <c r="W835" i="131"/>
  <c r="G836" i="131"/>
  <c r="H836" i="131"/>
  <c r="U836" i="131"/>
  <c r="V836" i="131"/>
  <c r="N837" i="131"/>
  <c r="N836" i="131" s="1"/>
  <c r="T837" i="131"/>
  <c r="W837" i="131"/>
  <c r="T838" i="131"/>
  <c r="W838" i="131"/>
  <c r="G839" i="131"/>
  <c r="K839" i="131" s="1"/>
  <c r="H839" i="131"/>
  <c r="N839" i="131"/>
  <c r="N2393" i="131" s="1"/>
  <c r="U839" i="131"/>
  <c r="V839" i="131"/>
  <c r="T840" i="131"/>
  <c r="W840" i="131"/>
  <c r="G841" i="131"/>
  <c r="H841" i="131"/>
  <c r="N841" i="131"/>
  <c r="U841" i="131"/>
  <c r="V841" i="131"/>
  <c r="T842" i="131"/>
  <c r="W842" i="131"/>
  <c r="T843" i="131"/>
  <c r="W843" i="131"/>
  <c r="G849" i="131"/>
  <c r="H849" i="131"/>
  <c r="H848" i="131" s="1"/>
  <c r="H847" i="131" s="1"/>
  <c r="U849" i="131"/>
  <c r="U848" i="131" s="1"/>
  <c r="U847" i="131" s="1"/>
  <c r="V849" i="131"/>
  <c r="V848" i="131" s="1"/>
  <c r="V847" i="131" s="1"/>
  <c r="W850" i="131"/>
  <c r="G864" i="131"/>
  <c r="H864" i="131"/>
  <c r="U864" i="131"/>
  <c r="V864" i="131"/>
  <c r="T865" i="131"/>
  <c r="W865" i="131"/>
  <c r="G868" i="131"/>
  <c r="H868" i="131"/>
  <c r="U868" i="131"/>
  <c r="V868" i="131"/>
  <c r="T869" i="131"/>
  <c r="W869" i="131"/>
  <c r="T870" i="131"/>
  <c r="W870" i="131"/>
  <c r="G871" i="131"/>
  <c r="H871" i="131"/>
  <c r="U871" i="131"/>
  <c r="V871" i="131"/>
  <c r="W872" i="131"/>
  <c r="G873" i="131"/>
  <c r="K873" i="131" s="1"/>
  <c r="H873" i="131"/>
  <c r="U873" i="131"/>
  <c r="V873" i="131"/>
  <c r="W874" i="131"/>
  <c r="G875" i="131"/>
  <c r="H875" i="131"/>
  <c r="U875" i="131"/>
  <c r="V875" i="131"/>
  <c r="H879" i="131"/>
  <c r="N879" i="131"/>
  <c r="O879" i="131"/>
  <c r="O2483" i="131" s="1"/>
  <c r="P879" i="131"/>
  <c r="U879" i="131"/>
  <c r="V879" i="131"/>
  <c r="V877" i="131" s="1"/>
  <c r="T880" i="131"/>
  <c r="T879" i="131" s="1"/>
  <c r="W880" i="131"/>
  <c r="W881" i="131"/>
  <c r="G882" i="131"/>
  <c r="H882" i="131"/>
  <c r="U882" i="131"/>
  <c r="V882" i="131"/>
  <c r="W883" i="131"/>
  <c r="G887" i="131"/>
  <c r="K887" i="131" s="1"/>
  <c r="H887" i="131"/>
  <c r="U887" i="131"/>
  <c r="V887" i="131"/>
  <c r="T888" i="131"/>
  <c r="W888" i="131"/>
  <c r="X888" i="131" s="1"/>
  <c r="G889" i="131"/>
  <c r="H889" i="131"/>
  <c r="U889" i="131"/>
  <c r="V889" i="131"/>
  <c r="T890" i="131"/>
  <c r="W890" i="131"/>
  <c r="G891" i="131"/>
  <c r="H891" i="131"/>
  <c r="U891" i="131"/>
  <c r="V891" i="131"/>
  <c r="T892" i="131"/>
  <c r="W892" i="131"/>
  <c r="X892" i="131" s="1"/>
  <c r="G893" i="131"/>
  <c r="H893" i="131"/>
  <c r="U893" i="131"/>
  <c r="V893" i="131"/>
  <c r="T894" i="131"/>
  <c r="W894" i="131"/>
  <c r="G895" i="131"/>
  <c r="T895" i="131" s="1"/>
  <c r="H895" i="131"/>
  <c r="U895" i="131"/>
  <c r="V895" i="131"/>
  <c r="T896" i="131"/>
  <c r="W896" i="131"/>
  <c r="G900" i="131"/>
  <c r="G899" i="131" s="1"/>
  <c r="G898" i="131" s="1"/>
  <c r="H900" i="131"/>
  <c r="H899" i="131" s="1"/>
  <c r="H898" i="131" s="1"/>
  <c r="U900" i="131"/>
  <c r="U899" i="131" s="1"/>
  <c r="U898" i="131" s="1"/>
  <c r="V900" i="131"/>
  <c r="V899" i="131" s="1"/>
  <c r="V898" i="131" s="1"/>
  <c r="T901" i="131"/>
  <c r="W901" i="131"/>
  <c r="T902" i="131"/>
  <c r="W902" i="131"/>
  <c r="X902" i="131" s="1"/>
  <c r="H905" i="131"/>
  <c r="N905" i="131"/>
  <c r="U905" i="131"/>
  <c r="V905" i="131"/>
  <c r="T906" i="131"/>
  <c r="W906" i="131"/>
  <c r="T908" i="131"/>
  <c r="W908" i="131"/>
  <c r="G910" i="131"/>
  <c r="H910" i="131"/>
  <c r="U910" i="131"/>
  <c r="V910" i="131"/>
  <c r="G913" i="131"/>
  <c r="H913" i="131"/>
  <c r="N913" i="131"/>
  <c r="U913" i="131"/>
  <c r="V913" i="131"/>
  <c r="T914" i="131"/>
  <c r="W914" i="131"/>
  <c r="T915" i="131"/>
  <c r="W915" i="131"/>
  <c r="G916" i="131"/>
  <c r="H916" i="131"/>
  <c r="N916" i="131"/>
  <c r="U916" i="131"/>
  <c r="V916" i="131"/>
  <c r="T917" i="131"/>
  <c r="W917" i="131"/>
  <c r="T918" i="131"/>
  <c r="W918" i="131"/>
  <c r="G919" i="131"/>
  <c r="H919" i="131"/>
  <c r="N919" i="131"/>
  <c r="U919" i="131"/>
  <c r="V919" i="131"/>
  <c r="T920" i="131"/>
  <c r="W920" i="131"/>
  <c r="T921" i="131"/>
  <c r="W921" i="131"/>
  <c r="G922" i="131"/>
  <c r="H922" i="131"/>
  <c r="P922" i="131"/>
  <c r="U922" i="131"/>
  <c r="V922" i="131"/>
  <c r="T923" i="131"/>
  <c r="T924" i="131"/>
  <c r="G928" i="131"/>
  <c r="W928" i="131" s="1"/>
  <c r="H928" i="131"/>
  <c r="U928" i="131"/>
  <c r="V928" i="131"/>
  <c r="T929" i="131"/>
  <c r="W929" i="131"/>
  <c r="T930" i="131"/>
  <c r="W930" i="131"/>
  <c r="G931" i="131"/>
  <c r="H931" i="131"/>
  <c r="U931" i="131"/>
  <c r="V931" i="131"/>
  <c r="T932" i="131"/>
  <c r="W932" i="131"/>
  <c r="T933" i="131"/>
  <c r="W933" i="131"/>
  <c r="G934" i="131"/>
  <c r="H934" i="131"/>
  <c r="U934" i="131"/>
  <c r="V934" i="131"/>
  <c r="H937" i="131"/>
  <c r="U937" i="131"/>
  <c r="V937" i="131"/>
  <c r="H940" i="131"/>
  <c r="P940" i="131"/>
  <c r="U940" i="131"/>
  <c r="V940" i="131"/>
  <c r="T941" i="131"/>
  <c r="W941" i="131"/>
  <c r="G943" i="131"/>
  <c r="H943" i="131"/>
  <c r="U943" i="131"/>
  <c r="V943" i="131"/>
  <c r="W944" i="131"/>
  <c r="W945" i="131"/>
  <c r="G946" i="131"/>
  <c r="W946" i="131" s="1"/>
  <c r="H946" i="131"/>
  <c r="U946" i="131"/>
  <c r="V946" i="131"/>
  <c r="W947" i="131"/>
  <c r="G948" i="131"/>
  <c r="U948" i="131"/>
  <c r="V948" i="131"/>
  <c r="W949" i="131"/>
  <c r="W950" i="131"/>
  <c r="U956" i="131"/>
  <c r="U955" i="131" s="1"/>
  <c r="V956" i="131"/>
  <c r="V955" i="131" s="1"/>
  <c r="H961" i="131"/>
  <c r="H960" i="131" s="1"/>
  <c r="U961" i="131"/>
  <c r="U960" i="131" s="1"/>
  <c r="U959" i="131" s="1"/>
  <c r="V961" i="131"/>
  <c r="V960" i="131" s="1"/>
  <c r="V959" i="131" s="1"/>
  <c r="G972" i="131"/>
  <c r="H972" i="131"/>
  <c r="H971" i="131" s="1"/>
  <c r="U972" i="131"/>
  <c r="U971" i="131" s="1"/>
  <c r="U964" i="131" s="1"/>
  <c r="V972" i="131"/>
  <c r="V971" i="131" s="1"/>
  <c r="V964" i="131" s="1"/>
  <c r="W973" i="131"/>
  <c r="G980" i="131"/>
  <c r="H980" i="131"/>
  <c r="U980" i="131"/>
  <c r="U979" i="131" s="1"/>
  <c r="U978" i="131" s="1"/>
  <c r="V980" i="131"/>
  <c r="V979" i="131" s="1"/>
  <c r="V978" i="131" s="1"/>
  <c r="T981" i="131"/>
  <c r="W981" i="131"/>
  <c r="T982" i="131"/>
  <c r="W982" i="131"/>
  <c r="U985" i="131"/>
  <c r="U984" i="131" s="1"/>
  <c r="U983" i="131" s="1"/>
  <c r="V985" i="131"/>
  <c r="V984" i="131" s="1"/>
  <c r="V983" i="131" s="1"/>
  <c r="P986" i="131"/>
  <c r="G991" i="131"/>
  <c r="K991" i="131" s="1"/>
  <c r="H991" i="131"/>
  <c r="U991" i="131"/>
  <c r="V991" i="131"/>
  <c r="U993" i="131"/>
  <c r="V993" i="131"/>
  <c r="W994" i="131"/>
  <c r="G996" i="131"/>
  <c r="H996" i="131"/>
  <c r="U996" i="131"/>
  <c r="V996" i="131"/>
  <c r="T997" i="131"/>
  <c r="W997" i="131"/>
  <c r="G998" i="131"/>
  <c r="H998" i="131"/>
  <c r="U998" i="131"/>
  <c r="V998" i="131"/>
  <c r="W999" i="131"/>
  <c r="W1000" i="131"/>
  <c r="G1001" i="131"/>
  <c r="W1001" i="131" s="1"/>
  <c r="H1001" i="131"/>
  <c r="U1001" i="131"/>
  <c r="V1001" i="131"/>
  <c r="W1002" i="131"/>
  <c r="W1003" i="131"/>
  <c r="G1004" i="131"/>
  <c r="H1004" i="131"/>
  <c r="U1004" i="131"/>
  <c r="V1004" i="131"/>
  <c r="W1005" i="131"/>
  <c r="W1006" i="131"/>
  <c r="G1007" i="131"/>
  <c r="H1007" i="131"/>
  <c r="U1007" i="131"/>
  <c r="V1007" i="131"/>
  <c r="W1008" i="131"/>
  <c r="W1009" i="131"/>
  <c r="G1010" i="131"/>
  <c r="H1010" i="131"/>
  <c r="U1010" i="131"/>
  <c r="V1010" i="131"/>
  <c r="W1011" i="131"/>
  <c r="G1012" i="131"/>
  <c r="H1012" i="131"/>
  <c r="N1012" i="131"/>
  <c r="N990" i="131" s="1"/>
  <c r="U1012" i="131"/>
  <c r="V1012" i="131"/>
  <c r="T1013" i="131"/>
  <c r="W1013" i="131"/>
  <c r="T1014" i="131"/>
  <c r="W1014" i="131"/>
  <c r="G1019" i="131"/>
  <c r="H1019" i="131"/>
  <c r="U1019" i="131"/>
  <c r="V1019" i="131"/>
  <c r="T1020" i="131"/>
  <c r="G1022" i="131"/>
  <c r="H1022" i="131"/>
  <c r="N1022" i="131"/>
  <c r="U1022" i="131"/>
  <c r="V1022" i="131"/>
  <c r="T1023" i="131"/>
  <c r="W1023" i="131"/>
  <c r="H1025" i="131"/>
  <c r="U1025" i="131"/>
  <c r="V1025" i="131"/>
  <c r="W1027" i="131"/>
  <c r="G1028" i="131"/>
  <c r="H1028" i="131"/>
  <c r="U1028" i="131"/>
  <c r="V1028" i="131"/>
  <c r="T1029" i="131"/>
  <c r="W1029" i="131"/>
  <c r="T1030" i="131"/>
  <c r="W1030" i="131"/>
  <c r="G1032" i="131"/>
  <c r="H1032" i="131"/>
  <c r="H1031" i="131" s="1"/>
  <c r="W1033" i="131"/>
  <c r="U1034" i="131"/>
  <c r="V1034" i="131"/>
  <c r="V1032" i="131" s="1"/>
  <c r="V1031" i="131" s="1"/>
  <c r="H1036" i="131"/>
  <c r="H1035" i="131" s="1"/>
  <c r="G1059" i="131"/>
  <c r="H1059" i="131"/>
  <c r="U1059" i="131"/>
  <c r="V1059" i="131"/>
  <c r="T1060" i="131"/>
  <c r="W1060" i="131"/>
  <c r="G1061" i="131"/>
  <c r="H1061" i="131"/>
  <c r="U1061" i="131"/>
  <c r="V1061" i="131"/>
  <c r="T1062" i="131"/>
  <c r="W1062" i="131"/>
  <c r="G1067" i="131"/>
  <c r="H1067" i="131"/>
  <c r="U1067" i="131"/>
  <c r="V1067" i="131"/>
  <c r="T1068" i="131"/>
  <c r="W1068" i="131"/>
  <c r="T1069" i="131"/>
  <c r="W1069" i="131"/>
  <c r="G1070" i="131"/>
  <c r="H1070" i="131"/>
  <c r="U1070" i="131"/>
  <c r="V1070" i="131"/>
  <c r="T1071" i="131"/>
  <c r="W1071" i="131"/>
  <c r="T1072" i="131"/>
  <c r="W1072" i="131"/>
  <c r="G1077" i="131"/>
  <c r="H1077" i="131"/>
  <c r="N1077" i="131"/>
  <c r="U1077" i="131"/>
  <c r="V1077" i="131"/>
  <c r="W1078" i="131"/>
  <c r="T1079" i="131"/>
  <c r="W1079" i="131"/>
  <c r="G1080" i="131"/>
  <c r="H1080" i="131"/>
  <c r="N1080" i="131"/>
  <c r="U1080" i="131"/>
  <c r="V1080" i="131"/>
  <c r="T1081" i="131"/>
  <c r="W1081" i="131"/>
  <c r="X1081" i="131" s="1"/>
  <c r="T1082" i="131"/>
  <c r="W1082" i="131"/>
  <c r="T1083" i="131"/>
  <c r="W1083" i="131"/>
  <c r="X1083" i="131" s="1"/>
  <c r="T1084" i="131"/>
  <c r="W1084" i="131"/>
  <c r="G1085" i="131"/>
  <c r="H1085" i="131"/>
  <c r="N1085" i="131"/>
  <c r="U1085" i="131"/>
  <c r="V1085" i="131"/>
  <c r="T1086" i="131"/>
  <c r="W1086" i="131"/>
  <c r="T1087" i="131"/>
  <c r="W1087" i="131"/>
  <c r="T1088" i="131"/>
  <c r="W1088" i="131"/>
  <c r="G1089" i="131"/>
  <c r="H1089" i="131"/>
  <c r="N1089" i="131"/>
  <c r="U1089" i="131"/>
  <c r="V1089" i="131"/>
  <c r="T1090" i="131"/>
  <c r="W1090" i="131"/>
  <c r="T1091" i="131"/>
  <c r="W1091" i="131"/>
  <c r="T1092" i="131"/>
  <c r="W1092" i="131"/>
  <c r="N1103" i="131"/>
  <c r="U1105" i="131"/>
  <c r="U1104" i="131" s="1"/>
  <c r="U1103" i="131" s="1"/>
  <c r="V1105" i="131"/>
  <c r="V1104" i="131" s="1"/>
  <c r="V1103" i="131" s="1"/>
  <c r="N1107" i="131"/>
  <c r="N1102" i="131" s="1"/>
  <c r="U1109" i="131"/>
  <c r="V1109" i="131"/>
  <c r="U1112" i="131"/>
  <c r="V1112" i="131"/>
  <c r="G1122" i="131"/>
  <c r="H1122" i="131"/>
  <c r="U1122" i="131"/>
  <c r="V1122" i="131"/>
  <c r="G1125" i="131"/>
  <c r="H1125" i="131"/>
  <c r="N1125" i="131"/>
  <c r="U1125" i="131"/>
  <c r="V1125" i="131"/>
  <c r="T1126" i="131"/>
  <c r="W1126" i="131"/>
  <c r="T1127" i="131"/>
  <c r="W1127" i="131"/>
  <c r="G1128" i="131"/>
  <c r="H1128" i="131"/>
  <c r="N1128" i="131"/>
  <c r="U1128" i="131"/>
  <c r="V1128" i="131"/>
  <c r="T1129" i="131"/>
  <c r="W1129" i="131"/>
  <c r="T1130" i="131"/>
  <c r="W1130" i="131"/>
  <c r="T1131" i="131"/>
  <c r="W1131" i="131"/>
  <c r="G1134" i="131"/>
  <c r="H1134" i="131"/>
  <c r="U1134" i="131"/>
  <c r="V1134" i="131"/>
  <c r="U1137" i="131"/>
  <c r="V1137" i="131"/>
  <c r="H1143" i="131"/>
  <c r="U1143" i="131"/>
  <c r="V1143" i="131"/>
  <c r="H1177" i="131"/>
  <c r="G1180" i="131"/>
  <c r="H1180" i="131"/>
  <c r="H1179" i="131" s="1"/>
  <c r="U1180" i="131"/>
  <c r="U1179" i="131" s="1"/>
  <c r="V1180" i="131"/>
  <c r="V1179" i="131" s="1"/>
  <c r="T1181" i="131"/>
  <c r="W1181" i="131"/>
  <c r="U1183" i="131"/>
  <c r="U1182" i="131" s="1"/>
  <c r="V1183" i="131"/>
  <c r="V1182" i="131" s="1"/>
  <c r="G1187" i="131"/>
  <c r="G1186" i="131" s="1"/>
  <c r="H300" i="114" s="1"/>
  <c r="H1187" i="131"/>
  <c r="P1187" i="131"/>
  <c r="P1186" i="131" s="1"/>
  <c r="U1187" i="131"/>
  <c r="U1186" i="131" s="1"/>
  <c r="V1187" i="131"/>
  <c r="V1186" i="131" s="1"/>
  <c r="T1188" i="131"/>
  <c r="W1188" i="131"/>
  <c r="H1190" i="131"/>
  <c r="P1190" i="131"/>
  <c r="P1189" i="131" s="1"/>
  <c r="U1190" i="131"/>
  <c r="U1189" i="131" s="1"/>
  <c r="V1190" i="131"/>
  <c r="V1189" i="131" s="1"/>
  <c r="T1191" i="131"/>
  <c r="G1194" i="131"/>
  <c r="G1193" i="131" s="1"/>
  <c r="G1192" i="131" s="1"/>
  <c r="H1194" i="131"/>
  <c r="H1193" i="131" s="1"/>
  <c r="U1194" i="131"/>
  <c r="U1193" i="131" s="1"/>
  <c r="U1192" i="131" s="1"/>
  <c r="P1195" i="131"/>
  <c r="V1195" i="131"/>
  <c r="V1194" i="131" s="1"/>
  <c r="V1193" i="131" s="1"/>
  <c r="V1192" i="131" s="1"/>
  <c r="G1203" i="131"/>
  <c r="H1203" i="131"/>
  <c r="N1203" i="131"/>
  <c r="U1203" i="131"/>
  <c r="V1203" i="131"/>
  <c r="T1204" i="131"/>
  <c r="W1204" i="131"/>
  <c r="G1208" i="131"/>
  <c r="H1208" i="131"/>
  <c r="U1208" i="131"/>
  <c r="V1208" i="131"/>
  <c r="W1209" i="131"/>
  <c r="G1210" i="131"/>
  <c r="H1210" i="131"/>
  <c r="U1210" i="131"/>
  <c r="V1210" i="131"/>
  <c r="W1211" i="131"/>
  <c r="G1212" i="131"/>
  <c r="H1212" i="131"/>
  <c r="U1212" i="131"/>
  <c r="V1212" i="131"/>
  <c r="W1213" i="131"/>
  <c r="G1214" i="131"/>
  <c r="H1214" i="131"/>
  <c r="U1214" i="131"/>
  <c r="V1214" i="131"/>
  <c r="G1216" i="131"/>
  <c r="H1216" i="131"/>
  <c r="N1216" i="131"/>
  <c r="U1216" i="131"/>
  <c r="V1216" i="131"/>
  <c r="T1217" i="131"/>
  <c r="W1217" i="131"/>
  <c r="G1218" i="131"/>
  <c r="H1218" i="131"/>
  <c r="L1218" i="131" s="1"/>
  <c r="U1218" i="131"/>
  <c r="V1218" i="131"/>
  <c r="G1224" i="131"/>
  <c r="H1224" i="131"/>
  <c r="H1223" i="131" s="1"/>
  <c r="N1224" i="131"/>
  <c r="N1223" i="131" s="1"/>
  <c r="U1224" i="131"/>
  <c r="U1223" i="131" s="1"/>
  <c r="V1224" i="131"/>
  <c r="V1223" i="131" s="1"/>
  <c r="T1225" i="131"/>
  <c r="W1225" i="131"/>
  <c r="G1226" i="131"/>
  <c r="H1226" i="131"/>
  <c r="N1226" i="131"/>
  <c r="U1226" i="131"/>
  <c r="V1226" i="131"/>
  <c r="T1227" i="131"/>
  <c r="W1227" i="131"/>
  <c r="T1228" i="131"/>
  <c r="W1228" i="131"/>
  <c r="G1229" i="131"/>
  <c r="H1229" i="131"/>
  <c r="U1229" i="131"/>
  <c r="V1229" i="131"/>
  <c r="W1230" i="131"/>
  <c r="G1238" i="131"/>
  <c r="H1238" i="131"/>
  <c r="U1238" i="131"/>
  <c r="V1238" i="131"/>
  <c r="N1239" i="131"/>
  <c r="N1238" i="131" s="1"/>
  <c r="N1234" i="131" s="1"/>
  <c r="N1233" i="131" s="1"/>
  <c r="N2407" i="131" s="1"/>
  <c r="T1239" i="131"/>
  <c r="W1239" i="131"/>
  <c r="T1240" i="131"/>
  <c r="W1240" i="131"/>
  <c r="H1244" i="131"/>
  <c r="L1244" i="131" s="1"/>
  <c r="U1244" i="131"/>
  <c r="V1244" i="131"/>
  <c r="W1245" i="131"/>
  <c r="W1246" i="131"/>
  <c r="G1252" i="131"/>
  <c r="H1252" i="131"/>
  <c r="U1252" i="131"/>
  <c r="V1252" i="131"/>
  <c r="G1260" i="131"/>
  <c r="G1248" i="131" s="1"/>
  <c r="H1260" i="131"/>
  <c r="N1260" i="131"/>
  <c r="U1260" i="131"/>
  <c r="V1260" i="131"/>
  <c r="T1261" i="131"/>
  <c r="W1261" i="131"/>
  <c r="T1262" i="131"/>
  <c r="W1262" i="131"/>
  <c r="T1263" i="131"/>
  <c r="W1263" i="131"/>
  <c r="T1264" i="131"/>
  <c r="W1264" i="131"/>
  <c r="T1265" i="131"/>
  <c r="W1265" i="131"/>
  <c r="T1266" i="131"/>
  <c r="W1266" i="131"/>
  <c r="T1267" i="131"/>
  <c r="W1267" i="131"/>
  <c r="T1268" i="131"/>
  <c r="W1268" i="131"/>
  <c r="T1269" i="131"/>
  <c r="U1273" i="131"/>
  <c r="V1273" i="131"/>
  <c r="W1276" i="131"/>
  <c r="W1277" i="131"/>
  <c r="G1280" i="131"/>
  <c r="H1280" i="131"/>
  <c r="H1279" i="131" s="1"/>
  <c r="N1280" i="131"/>
  <c r="N1279" i="131" s="1"/>
  <c r="N1278" i="131" s="1"/>
  <c r="N2410" i="131" s="1"/>
  <c r="U1280" i="131"/>
  <c r="U1279" i="131" s="1"/>
  <c r="U1278" i="131" s="1"/>
  <c r="U2410" i="131" s="1"/>
  <c r="V1280" i="131"/>
  <c r="V1279" i="131" s="1"/>
  <c r="V1278" i="131" s="1"/>
  <c r="V2410" i="131" s="1"/>
  <c r="T1281" i="131"/>
  <c r="W1281" i="131"/>
  <c r="G1284" i="131"/>
  <c r="H1284" i="131"/>
  <c r="N1284" i="131"/>
  <c r="N1283" i="131" s="1"/>
  <c r="N1282" i="131" s="1"/>
  <c r="N2412" i="131" s="1"/>
  <c r="U1284" i="131"/>
  <c r="V1284" i="131"/>
  <c r="T1285" i="131"/>
  <c r="W1285" i="131"/>
  <c r="G1286" i="131"/>
  <c r="H1286" i="131"/>
  <c r="U1286" i="131"/>
  <c r="V1286" i="131"/>
  <c r="T1287" i="131"/>
  <c r="W1287" i="131"/>
  <c r="G1291" i="131"/>
  <c r="G1290" i="131" s="1"/>
  <c r="H13" i="114" s="1"/>
  <c r="H12" i="114" s="1"/>
  <c r="H1291" i="131"/>
  <c r="H1290" i="131" s="1"/>
  <c r="U1291" i="131"/>
  <c r="U1290" i="131" s="1"/>
  <c r="V1291" i="131"/>
  <c r="V1290" i="131" s="1"/>
  <c r="G1294" i="131"/>
  <c r="H1294" i="131"/>
  <c r="H1293" i="131" s="1"/>
  <c r="U1294" i="131"/>
  <c r="U1293" i="131" s="1"/>
  <c r="V1294" i="131"/>
  <c r="V1293" i="131" s="1"/>
  <c r="G1297" i="131"/>
  <c r="G1296" i="131" s="1"/>
  <c r="H18" i="114" s="1"/>
  <c r="H1297" i="131"/>
  <c r="H1296" i="131" s="1"/>
  <c r="U1297" i="131"/>
  <c r="U1296" i="131" s="1"/>
  <c r="V1297" i="131"/>
  <c r="V1296" i="131" s="1"/>
  <c r="U1300" i="131"/>
  <c r="U1299" i="131" s="1"/>
  <c r="V1300" i="131"/>
  <c r="V1299" i="131" s="1"/>
  <c r="G1304" i="131"/>
  <c r="G1303" i="131" s="1"/>
  <c r="H22" i="114" s="1"/>
  <c r="H21" i="114" s="1"/>
  <c r="H1304" i="131"/>
  <c r="H1303" i="131" s="1"/>
  <c r="U1304" i="131"/>
  <c r="U1303" i="131" s="1"/>
  <c r="V1304" i="131"/>
  <c r="V1303" i="131" s="1"/>
  <c r="N1325" i="131"/>
  <c r="N1286" i="131" s="1"/>
  <c r="G1327" i="131"/>
  <c r="H1327" i="131"/>
  <c r="H1326" i="131" s="1"/>
  <c r="I282" i="114" s="1"/>
  <c r="U1327" i="131"/>
  <c r="U1326" i="131" s="1"/>
  <c r="V1327" i="131"/>
  <c r="V1326" i="131" s="1"/>
  <c r="U1330" i="131"/>
  <c r="U1329" i="131" s="1"/>
  <c r="V1330" i="131"/>
  <c r="V1329" i="131" s="1"/>
  <c r="W1331" i="131"/>
  <c r="G1334" i="131"/>
  <c r="G1333" i="131" s="1"/>
  <c r="H290" i="114" s="1"/>
  <c r="H289" i="114" s="1"/>
  <c r="H1334" i="131"/>
  <c r="U1334" i="131"/>
  <c r="U1333" i="131" s="1"/>
  <c r="V1334" i="131"/>
  <c r="V1333" i="131" s="1"/>
  <c r="G1337" i="131"/>
  <c r="G1336" i="131" s="1"/>
  <c r="H296" i="114" s="1"/>
  <c r="H1337" i="131"/>
  <c r="H1336" i="131" s="1"/>
  <c r="I296" i="114" s="1"/>
  <c r="U1337" i="131"/>
  <c r="U1336" i="131" s="1"/>
  <c r="V1337" i="131"/>
  <c r="V1336" i="131" s="1"/>
  <c r="H1340" i="131"/>
  <c r="U1340" i="131"/>
  <c r="U1339" i="131" s="1"/>
  <c r="V1340" i="131"/>
  <c r="V1339" i="131" s="1"/>
  <c r="H1343" i="131"/>
  <c r="U1343" i="131"/>
  <c r="V1343" i="131"/>
  <c r="G1346" i="131"/>
  <c r="H1346" i="131"/>
  <c r="U1346" i="131"/>
  <c r="V1346" i="131"/>
  <c r="G1350" i="131"/>
  <c r="H1350" i="131"/>
  <c r="H1349" i="131" s="1"/>
  <c r="I382" i="114" s="1"/>
  <c r="I381" i="114" s="1"/>
  <c r="V1350" i="131"/>
  <c r="V1349" i="131" s="1"/>
  <c r="V1348" i="131" s="1"/>
  <c r="V2400" i="131" s="1"/>
  <c r="W1351" i="131"/>
  <c r="U1352" i="131"/>
  <c r="U1350" i="131" s="1"/>
  <c r="U1349" i="131" s="1"/>
  <c r="U1348" i="131" s="1"/>
  <c r="U2400" i="131" s="1"/>
  <c r="G1363" i="131"/>
  <c r="H1363" i="131"/>
  <c r="L1363" i="131" s="1"/>
  <c r="N1363" i="131"/>
  <c r="U1363" i="131"/>
  <c r="V1363" i="131"/>
  <c r="T1364" i="131"/>
  <c r="W1364" i="131"/>
  <c r="G1365" i="131"/>
  <c r="H1365" i="131"/>
  <c r="U1365" i="131"/>
  <c r="V1365" i="131"/>
  <c r="N1366" i="131"/>
  <c r="N1365" i="131" s="1"/>
  <c r="T1366" i="131"/>
  <c r="W1366" i="131"/>
  <c r="T1367" i="131"/>
  <c r="W1367" i="131"/>
  <c r="T1368" i="131"/>
  <c r="W1368" i="131"/>
  <c r="T1369" i="131"/>
  <c r="W1369" i="131"/>
  <c r="T1370" i="131"/>
  <c r="W1370" i="131"/>
  <c r="N1371" i="131"/>
  <c r="U1371" i="131"/>
  <c r="V1371" i="131"/>
  <c r="T1372" i="131"/>
  <c r="W1372" i="131"/>
  <c r="G1375" i="131"/>
  <c r="H1375" i="131"/>
  <c r="U1375" i="131"/>
  <c r="V1375" i="131"/>
  <c r="N1376" i="131"/>
  <c r="N1375" i="131" s="1"/>
  <c r="T1376" i="131"/>
  <c r="W1376" i="131"/>
  <c r="X1376" i="131" s="1"/>
  <c r="U1377" i="131"/>
  <c r="V1377" i="131"/>
  <c r="N1378" i="131"/>
  <c r="N1377" i="131" s="1"/>
  <c r="T1378" i="131"/>
  <c r="W1378" i="131"/>
  <c r="U1384" i="131"/>
  <c r="V1384" i="131"/>
  <c r="N1386" i="131"/>
  <c r="N1384" i="131" s="1"/>
  <c r="T1386" i="131"/>
  <c r="W1386" i="131"/>
  <c r="G1388" i="131"/>
  <c r="H1388" i="131"/>
  <c r="U1388" i="131"/>
  <c r="V1388" i="131"/>
  <c r="T1389" i="131"/>
  <c r="W1389" i="131"/>
  <c r="X1389" i="131" s="1"/>
  <c r="G1390" i="131"/>
  <c r="H1390" i="131"/>
  <c r="N1390" i="131"/>
  <c r="U1390" i="131"/>
  <c r="V1390" i="131"/>
  <c r="T1391" i="131"/>
  <c r="W1391" i="131"/>
  <c r="T1392" i="131"/>
  <c r="W1392" i="131"/>
  <c r="T1393" i="131"/>
  <c r="W1393" i="131"/>
  <c r="U1394" i="131"/>
  <c r="V1394" i="131"/>
  <c r="T1395" i="131"/>
  <c r="W1395" i="131"/>
  <c r="G1397" i="131"/>
  <c r="H1397" i="131"/>
  <c r="U1397" i="131"/>
  <c r="V1397" i="131"/>
  <c r="W1398" i="131"/>
  <c r="X1398" i="131" s="1"/>
  <c r="W1399" i="131"/>
  <c r="W1400" i="131"/>
  <c r="G1401" i="131"/>
  <c r="H1401" i="131"/>
  <c r="U1401" i="131"/>
  <c r="V1401" i="131"/>
  <c r="G1403" i="131"/>
  <c r="H1403" i="131"/>
  <c r="L1403" i="131" s="1"/>
  <c r="U1403" i="131"/>
  <c r="V1403" i="131"/>
  <c r="G1405" i="131"/>
  <c r="H1405" i="131"/>
  <c r="U1405" i="131"/>
  <c r="V1405" i="131"/>
  <c r="G1407" i="131"/>
  <c r="H1407" i="131"/>
  <c r="U1407" i="131"/>
  <c r="V1407" i="131"/>
  <c r="N1411" i="131"/>
  <c r="G1414" i="131"/>
  <c r="G1413" i="131" s="1"/>
  <c r="H1414" i="131"/>
  <c r="U1414" i="131"/>
  <c r="U1413" i="131" s="1"/>
  <c r="U1412" i="131" s="1"/>
  <c r="U1411" i="131" s="1"/>
  <c r="V1414" i="131"/>
  <c r="V1413" i="131" s="1"/>
  <c r="V1412" i="131" s="1"/>
  <c r="V1411" i="131" s="1"/>
  <c r="T1415" i="131"/>
  <c r="W1415" i="131"/>
  <c r="H1417" i="131"/>
  <c r="U1417" i="131"/>
  <c r="U1416" i="131" s="1"/>
  <c r="V1417" i="131"/>
  <c r="V1416" i="131" s="1"/>
  <c r="N1425" i="131"/>
  <c r="N1424" i="131" s="1"/>
  <c r="N2426" i="131" s="1"/>
  <c r="N1429" i="131"/>
  <c r="U1429" i="131"/>
  <c r="U1425" i="131" s="1"/>
  <c r="U1424" i="131" s="1"/>
  <c r="V1429" i="131"/>
  <c r="V1425" i="131" s="1"/>
  <c r="V1424" i="131" s="1"/>
  <c r="G1451" i="131"/>
  <c r="H1451" i="131"/>
  <c r="N1451" i="131"/>
  <c r="N1450" i="131" s="1"/>
  <c r="N1432" i="131" s="1"/>
  <c r="U1451" i="131"/>
  <c r="V1451" i="131"/>
  <c r="T1452" i="131"/>
  <c r="W1452" i="131"/>
  <c r="G1453" i="131"/>
  <c r="H1453" i="131"/>
  <c r="U1453" i="131"/>
  <c r="V1453" i="131"/>
  <c r="T1454" i="131"/>
  <c r="W1454" i="131"/>
  <c r="G1455" i="131"/>
  <c r="H1455" i="131"/>
  <c r="U1455" i="131"/>
  <c r="V1455" i="131"/>
  <c r="T1456" i="131"/>
  <c r="W1456" i="131"/>
  <c r="G1457" i="131"/>
  <c r="H1457" i="131"/>
  <c r="N1457" i="131"/>
  <c r="N1412" i="131" s="1"/>
  <c r="U1457" i="131"/>
  <c r="V1457" i="131"/>
  <c r="T1458" i="131"/>
  <c r="W1458" i="131"/>
  <c r="G1459" i="131"/>
  <c r="H1459" i="131"/>
  <c r="U1459" i="131"/>
  <c r="V1459" i="131"/>
  <c r="T1460" i="131"/>
  <c r="W1460" i="131"/>
  <c r="H1461" i="131"/>
  <c r="U1461" i="131"/>
  <c r="V1461" i="131"/>
  <c r="G1474" i="131"/>
  <c r="H1474" i="131"/>
  <c r="H1476" i="131"/>
  <c r="G1480" i="131"/>
  <c r="H1480" i="131"/>
  <c r="H1479" i="131" s="1"/>
  <c r="H1478" i="131" s="1"/>
  <c r="U1480" i="131"/>
  <c r="U1479" i="131" s="1"/>
  <c r="U1478" i="131" s="1"/>
  <c r="U1463" i="131" s="1"/>
  <c r="U2428" i="131" s="1"/>
  <c r="V1480" i="131"/>
  <c r="V1479" i="131" s="1"/>
  <c r="V1478" i="131" s="1"/>
  <c r="V1463" i="131" s="1"/>
  <c r="V2428" i="131" s="1"/>
  <c r="H1486" i="131"/>
  <c r="H1493" i="131"/>
  <c r="G1493" i="131"/>
  <c r="H1503" i="131"/>
  <c r="N1503" i="131"/>
  <c r="N1497" i="131" s="1"/>
  <c r="N2435" i="131" s="1"/>
  <c r="U1503" i="131"/>
  <c r="V1503" i="131"/>
  <c r="W1504" i="131"/>
  <c r="G1505" i="131"/>
  <c r="K1505" i="131" s="1"/>
  <c r="H1505" i="131"/>
  <c r="U1505" i="131"/>
  <c r="V1505" i="131"/>
  <c r="T1506" i="131"/>
  <c r="W1506" i="131"/>
  <c r="G1511" i="131"/>
  <c r="H1511" i="131"/>
  <c r="H1510" i="131" s="1"/>
  <c r="N1511" i="131"/>
  <c r="N1510" i="131" s="1"/>
  <c r="N1509" i="131" s="1"/>
  <c r="N1508" i="131" s="1"/>
  <c r="N1507" i="131" s="1"/>
  <c r="U1511" i="131"/>
  <c r="U1510" i="131" s="1"/>
  <c r="U1509" i="131" s="1"/>
  <c r="U1508" i="131" s="1"/>
  <c r="U1507" i="131" s="1"/>
  <c r="V1511" i="131"/>
  <c r="V1510" i="131" s="1"/>
  <c r="V1509" i="131" s="1"/>
  <c r="V1508" i="131" s="1"/>
  <c r="V1507" i="131" s="1"/>
  <c r="T1512" i="131"/>
  <c r="W1512" i="131"/>
  <c r="T1513" i="131"/>
  <c r="W1513" i="131"/>
  <c r="T1514" i="131"/>
  <c r="W1514" i="131"/>
  <c r="G1517" i="131"/>
  <c r="W1517" i="131" s="1"/>
  <c r="H1517" i="131"/>
  <c r="N1517" i="131"/>
  <c r="N1516" i="131" s="1"/>
  <c r="N1515" i="131" s="1"/>
  <c r="U1517" i="131"/>
  <c r="V1517" i="131"/>
  <c r="T1518" i="131"/>
  <c r="W1518" i="131"/>
  <c r="G1519" i="131"/>
  <c r="H1519" i="131"/>
  <c r="U1519" i="131"/>
  <c r="V1519" i="131"/>
  <c r="T1520" i="131"/>
  <c r="W1520" i="131"/>
  <c r="N1523" i="131"/>
  <c r="N1522" i="131" s="1"/>
  <c r="G1525" i="131"/>
  <c r="H1525" i="131"/>
  <c r="H1524" i="131" s="1"/>
  <c r="H1523" i="131" s="1"/>
  <c r="H2389" i="131" s="1"/>
  <c r="N1525" i="131"/>
  <c r="N1524" i="131" s="1"/>
  <c r="U1525" i="131"/>
  <c r="U1524" i="131" s="1"/>
  <c r="U1523" i="131" s="1"/>
  <c r="U1522" i="131" s="1"/>
  <c r="U1521" i="131" s="1"/>
  <c r="V1525" i="131"/>
  <c r="V1524" i="131" s="1"/>
  <c r="V1523" i="131" s="1"/>
  <c r="T1526" i="131"/>
  <c r="W1526" i="131"/>
  <c r="G1528" i="131"/>
  <c r="G1527" i="131" s="1"/>
  <c r="H1528" i="131"/>
  <c r="G1533" i="131"/>
  <c r="H1533" i="131"/>
  <c r="H1532" i="131" s="1"/>
  <c r="H1531" i="131" s="1"/>
  <c r="H2445" i="131" s="1"/>
  <c r="D49" i="36" s="1"/>
  <c r="N1533" i="131"/>
  <c r="N1532" i="131" s="1"/>
  <c r="N1531" i="131" s="1"/>
  <c r="N2445" i="131" s="1"/>
  <c r="U1533" i="131"/>
  <c r="U1532" i="131" s="1"/>
  <c r="U1531" i="131" s="1"/>
  <c r="U2445" i="131" s="1"/>
  <c r="V1533" i="131"/>
  <c r="V1532" i="131" s="1"/>
  <c r="V1531" i="131" s="1"/>
  <c r="V2445" i="131" s="1"/>
  <c r="T1534" i="131"/>
  <c r="W1534" i="131"/>
  <c r="G1539" i="131"/>
  <c r="H1539" i="131"/>
  <c r="N1539" i="131"/>
  <c r="N1536" i="131" s="1"/>
  <c r="N2397" i="131" s="1"/>
  <c r="U1539" i="131"/>
  <c r="V1539" i="131"/>
  <c r="T1540" i="131"/>
  <c r="W1540" i="131"/>
  <c r="G1541" i="131"/>
  <c r="H1541" i="131"/>
  <c r="U1541" i="131"/>
  <c r="V1541" i="131"/>
  <c r="T1542" i="131"/>
  <c r="W1542" i="131"/>
  <c r="G1543" i="131"/>
  <c r="H1543" i="131"/>
  <c r="U1543" i="131"/>
  <c r="V1543" i="131"/>
  <c r="T1544" i="131"/>
  <c r="W1544" i="131"/>
  <c r="G1545" i="131"/>
  <c r="H1545" i="131"/>
  <c r="U1545" i="131"/>
  <c r="V1545" i="131"/>
  <c r="T1546" i="131"/>
  <c r="W1546" i="131"/>
  <c r="G1547" i="131"/>
  <c r="H1547" i="131"/>
  <c r="U1547" i="131"/>
  <c r="V1547" i="131"/>
  <c r="W1548" i="131"/>
  <c r="N1554" i="131"/>
  <c r="N1553" i="131" s="1"/>
  <c r="U1554" i="131"/>
  <c r="V1554" i="131"/>
  <c r="T1555" i="131"/>
  <c r="W1555" i="131"/>
  <c r="G1558" i="131"/>
  <c r="H1558" i="131"/>
  <c r="U1558" i="131"/>
  <c r="V1558" i="131"/>
  <c r="G1560" i="131"/>
  <c r="H1560" i="131"/>
  <c r="U1560" i="131"/>
  <c r="V1560" i="131"/>
  <c r="G1564" i="131"/>
  <c r="H1564" i="131"/>
  <c r="U1564" i="131"/>
  <c r="V1564" i="131"/>
  <c r="N1565" i="131"/>
  <c r="N1564" i="131" s="1"/>
  <c r="T1565" i="131"/>
  <c r="W1565" i="131"/>
  <c r="T1566" i="131"/>
  <c r="W1566" i="131"/>
  <c r="T1567" i="131"/>
  <c r="W1567" i="131"/>
  <c r="T1568" i="131"/>
  <c r="W1568" i="131"/>
  <c r="T1569" i="131"/>
  <c r="W1569" i="131"/>
  <c r="G1570" i="131"/>
  <c r="H1570" i="131"/>
  <c r="U1570" i="131"/>
  <c r="V1570" i="131"/>
  <c r="N1571" i="131"/>
  <c r="N1570" i="131" s="1"/>
  <c r="T1571" i="131"/>
  <c r="W1571" i="131"/>
  <c r="T1572" i="131"/>
  <c r="W1572" i="131"/>
  <c r="T1573" i="131"/>
  <c r="W1573" i="131"/>
  <c r="T1574" i="131"/>
  <c r="W1574" i="131"/>
  <c r="T1575" i="131"/>
  <c r="W1575" i="131"/>
  <c r="G1576" i="131"/>
  <c r="H1576" i="131"/>
  <c r="L1576" i="131" s="1"/>
  <c r="U1576" i="131"/>
  <c r="V1576" i="131"/>
  <c r="G1587" i="131"/>
  <c r="H1587" i="131"/>
  <c r="N1587" i="131"/>
  <c r="N1586" i="131" s="1"/>
  <c r="N1585" i="131" s="1"/>
  <c r="N1584" i="131" s="1"/>
  <c r="N1583" i="131" s="1"/>
  <c r="U1587" i="131"/>
  <c r="V1587" i="131"/>
  <c r="T1588" i="131"/>
  <c r="W1588" i="131"/>
  <c r="T1589" i="131"/>
  <c r="W1589" i="131"/>
  <c r="G1590" i="131"/>
  <c r="H1590" i="131"/>
  <c r="U1590" i="131"/>
  <c r="V1590" i="131"/>
  <c r="W1591" i="131"/>
  <c r="G1592" i="131"/>
  <c r="H1592" i="131"/>
  <c r="U1592" i="131"/>
  <c r="V1592" i="131"/>
  <c r="W1593" i="131"/>
  <c r="H1594" i="131"/>
  <c r="U1594" i="131"/>
  <c r="V1594" i="131"/>
  <c r="G1597" i="131"/>
  <c r="H1597" i="131"/>
  <c r="U1597" i="131"/>
  <c r="V1597" i="131"/>
  <c r="W1598" i="131"/>
  <c r="G1599" i="131"/>
  <c r="H1599" i="131"/>
  <c r="N1599" i="131"/>
  <c r="U1599" i="131"/>
  <c r="V1599" i="131"/>
  <c r="T1600" i="131"/>
  <c r="W1600" i="131"/>
  <c r="G1601" i="131"/>
  <c r="H1601" i="131"/>
  <c r="U1601" i="131"/>
  <c r="V1601" i="131"/>
  <c r="W1602" i="131"/>
  <c r="G1603" i="131"/>
  <c r="H1603" i="131"/>
  <c r="U1603" i="131"/>
  <c r="V1603" i="131"/>
  <c r="W1604" i="131"/>
  <c r="G1605" i="131"/>
  <c r="H1605" i="131"/>
  <c r="U1605" i="131"/>
  <c r="V1605" i="131"/>
  <c r="W1606" i="131"/>
  <c r="H1610" i="131"/>
  <c r="L1610" i="131" s="1"/>
  <c r="N1610" i="131"/>
  <c r="U1610" i="131"/>
  <c r="V1610" i="131"/>
  <c r="G1612" i="131"/>
  <c r="H1612" i="131"/>
  <c r="N1612" i="131"/>
  <c r="U1612" i="131"/>
  <c r="V1612" i="131"/>
  <c r="T1613" i="131"/>
  <c r="W1613" i="131"/>
  <c r="G1614" i="131"/>
  <c r="H1614" i="131"/>
  <c r="L1614" i="131" s="1"/>
  <c r="U1614" i="131"/>
  <c r="V1614" i="131"/>
  <c r="W1615" i="131"/>
  <c r="G1620" i="131"/>
  <c r="H1620" i="131"/>
  <c r="U1620" i="131"/>
  <c r="V1620" i="131"/>
  <c r="G1622" i="131"/>
  <c r="H1622" i="131"/>
  <c r="H1619" i="131" s="1"/>
  <c r="U1622" i="131"/>
  <c r="V1622" i="131"/>
  <c r="W1623" i="131"/>
  <c r="G1625" i="131"/>
  <c r="G1624" i="131" s="1"/>
  <c r="H1625" i="131"/>
  <c r="U1625" i="131"/>
  <c r="U1624" i="131" s="1"/>
  <c r="V1625" i="131"/>
  <c r="V1624" i="131" s="1"/>
  <c r="W1626" i="131"/>
  <c r="G1630" i="131"/>
  <c r="H1630" i="131"/>
  <c r="L1630" i="131" s="1"/>
  <c r="U1630" i="131"/>
  <c r="V1630" i="131"/>
  <c r="T1631" i="131"/>
  <c r="W1631" i="131"/>
  <c r="G1632" i="131"/>
  <c r="H1632" i="131"/>
  <c r="U1632" i="131"/>
  <c r="V1632" i="131"/>
  <c r="T1633" i="131"/>
  <c r="W1633" i="131"/>
  <c r="G1635" i="131"/>
  <c r="H1635" i="131"/>
  <c r="H1634" i="131" s="1"/>
  <c r="U1635" i="131"/>
  <c r="U1634" i="131" s="1"/>
  <c r="V1635" i="131"/>
  <c r="V1634" i="131" s="1"/>
  <c r="T1636" i="131"/>
  <c r="W1636" i="131"/>
  <c r="G1638" i="131"/>
  <c r="H1638" i="131"/>
  <c r="H1637" i="131" s="1"/>
  <c r="U1638" i="131"/>
  <c r="U1637" i="131" s="1"/>
  <c r="V1638" i="131"/>
  <c r="V1637" i="131" s="1"/>
  <c r="W1639" i="131"/>
  <c r="G1642" i="131"/>
  <c r="G1641" i="131" s="1"/>
  <c r="G1640" i="131" s="1"/>
  <c r="H1642" i="131"/>
  <c r="U1642" i="131"/>
  <c r="U1641" i="131" s="1"/>
  <c r="U1640" i="131" s="1"/>
  <c r="V1642" i="131"/>
  <c r="V1641" i="131" s="1"/>
  <c r="V1640" i="131" s="1"/>
  <c r="T1643" i="131"/>
  <c r="W1643" i="131"/>
  <c r="G1646" i="131"/>
  <c r="G1645" i="131" s="1"/>
  <c r="G1644" i="131" s="1"/>
  <c r="H1646" i="131"/>
  <c r="U1646" i="131"/>
  <c r="U1645" i="131" s="1"/>
  <c r="U1644" i="131" s="1"/>
  <c r="V1646" i="131"/>
  <c r="V1645" i="131" s="1"/>
  <c r="V1644" i="131" s="1"/>
  <c r="G1649" i="131"/>
  <c r="H1649" i="131"/>
  <c r="L1649" i="131" s="1"/>
  <c r="N1649" i="131"/>
  <c r="N1648" i="131" s="1"/>
  <c r="N1617" i="131" s="1"/>
  <c r="N1616" i="131" s="1"/>
  <c r="U1649" i="131"/>
  <c r="V1649" i="131"/>
  <c r="T1650" i="131"/>
  <c r="W1650" i="131"/>
  <c r="G1651" i="131"/>
  <c r="H1651" i="131"/>
  <c r="U1651" i="131"/>
  <c r="V1651" i="131"/>
  <c r="G1653" i="131"/>
  <c r="H1653" i="131"/>
  <c r="N1653" i="131"/>
  <c r="U1653" i="131"/>
  <c r="V1653" i="131"/>
  <c r="T1654" i="131"/>
  <c r="W1654" i="131"/>
  <c r="G1655" i="131"/>
  <c r="H1655" i="131"/>
  <c r="U1655" i="131"/>
  <c r="V1655" i="131"/>
  <c r="G1657" i="131"/>
  <c r="H1657" i="131"/>
  <c r="N1657" i="131"/>
  <c r="U1657" i="131"/>
  <c r="V1657" i="131"/>
  <c r="T1658" i="131"/>
  <c r="W1658" i="131"/>
  <c r="G1659" i="131"/>
  <c r="H1659" i="131"/>
  <c r="N1659" i="131"/>
  <c r="U1659" i="131"/>
  <c r="V1659" i="131"/>
  <c r="T1660" i="131"/>
  <c r="W1660" i="131"/>
  <c r="G1661" i="131"/>
  <c r="H1661" i="131"/>
  <c r="L1661" i="131" s="1"/>
  <c r="N1661" i="131"/>
  <c r="U1661" i="131"/>
  <c r="V1661" i="131"/>
  <c r="T1662" i="131"/>
  <c r="W1662" i="131"/>
  <c r="G1663" i="131"/>
  <c r="H1663" i="131"/>
  <c r="U1663" i="131"/>
  <c r="V1663" i="131"/>
  <c r="W1664" i="131"/>
  <c r="G1665" i="131"/>
  <c r="W1665" i="131" s="1"/>
  <c r="H1665" i="131"/>
  <c r="L1665" i="131" s="1"/>
  <c r="U1665" i="131"/>
  <c r="V1665" i="131"/>
  <c r="W1666" i="131"/>
  <c r="G1667" i="131"/>
  <c r="H1667" i="131"/>
  <c r="U1667" i="131"/>
  <c r="V1667" i="131"/>
  <c r="T1668" i="131"/>
  <c r="W1668" i="131"/>
  <c r="G1675" i="131"/>
  <c r="H1675" i="131"/>
  <c r="U1675" i="131"/>
  <c r="V1675" i="131"/>
  <c r="W1676" i="131"/>
  <c r="G1677" i="131"/>
  <c r="H1677" i="131"/>
  <c r="U1677" i="131"/>
  <c r="V1677" i="131"/>
  <c r="N1678" i="131"/>
  <c r="T1678" i="131"/>
  <c r="W1678" i="131"/>
  <c r="W1679" i="131"/>
  <c r="N1680" i="131"/>
  <c r="T1680" i="131"/>
  <c r="W1680" i="131"/>
  <c r="T1681" i="131"/>
  <c r="W1681" i="131"/>
  <c r="T1682" i="131"/>
  <c r="W1682" i="131"/>
  <c r="G1683" i="131"/>
  <c r="H1683" i="131"/>
  <c r="G1686" i="131"/>
  <c r="H1686" i="131"/>
  <c r="U1686" i="131"/>
  <c r="V1686" i="131"/>
  <c r="N1687" i="131"/>
  <c r="T1687" i="131"/>
  <c r="W1687" i="131"/>
  <c r="T1688" i="131"/>
  <c r="W1688" i="131"/>
  <c r="N1689" i="131"/>
  <c r="T1689" i="131"/>
  <c r="W1689" i="131"/>
  <c r="T1690" i="131"/>
  <c r="W1690" i="131"/>
  <c r="T1691" i="131"/>
  <c r="W1691" i="131"/>
  <c r="T1692" i="131"/>
  <c r="W1692" i="131"/>
  <c r="T1693" i="131"/>
  <c r="W1693" i="131"/>
  <c r="G1697" i="131"/>
  <c r="H1697" i="131"/>
  <c r="U1697" i="131"/>
  <c r="V1697" i="131"/>
  <c r="W1698" i="131"/>
  <c r="X1698" i="131" s="1"/>
  <c r="W1699" i="131"/>
  <c r="G1711" i="131"/>
  <c r="H1711" i="131"/>
  <c r="L1711" i="131" s="1"/>
  <c r="N1711" i="131"/>
  <c r="U1711" i="131"/>
  <c r="V1711" i="131"/>
  <c r="T1712" i="131"/>
  <c r="W1712" i="131"/>
  <c r="X1712" i="131" s="1"/>
  <c r="G1713" i="131"/>
  <c r="H1713" i="131"/>
  <c r="N1713" i="131"/>
  <c r="U1713" i="131"/>
  <c r="V1713" i="131"/>
  <c r="T1714" i="131"/>
  <c r="W1714" i="131"/>
  <c r="G1715" i="131"/>
  <c r="H1715" i="131"/>
  <c r="N1715" i="131"/>
  <c r="U1715" i="131"/>
  <c r="V1715" i="131"/>
  <c r="T1716" i="131"/>
  <c r="W1716" i="131"/>
  <c r="G1722" i="131"/>
  <c r="K1722" i="131" s="1"/>
  <c r="M1722" i="131" s="1"/>
  <c r="H1722" i="131"/>
  <c r="U1722" i="131"/>
  <c r="U1721" i="131" s="1"/>
  <c r="U1720" i="131" s="1"/>
  <c r="U1719" i="131" s="1"/>
  <c r="U1718" i="131" s="1"/>
  <c r="U1717" i="131" s="1"/>
  <c r="V1722" i="131"/>
  <c r="V1721" i="131" s="1"/>
  <c r="V1720" i="131" s="1"/>
  <c r="V1719" i="131" s="1"/>
  <c r="V1718" i="131" s="1"/>
  <c r="V1717" i="131" s="1"/>
  <c r="N1723" i="131"/>
  <c r="N1722" i="131" s="1"/>
  <c r="N1721" i="131" s="1"/>
  <c r="N1720" i="131" s="1"/>
  <c r="N1719" i="131" s="1"/>
  <c r="N1718" i="131" s="1"/>
  <c r="T1723" i="131"/>
  <c r="W1723" i="131"/>
  <c r="G1729" i="131"/>
  <c r="H1729" i="131"/>
  <c r="H1728" i="131" s="1"/>
  <c r="H1727" i="131" s="1"/>
  <c r="N1729" i="131"/>
  <c r="N1728" i="131" s="1"/>
  <c r="N1727" i="131" s="1"/>
  <c r="N1726" i="131" s="1"/>
  <c r="N1725" i="131" s="1"/>
  <c r="N2458" i="131" s="1"/>
  <c r="U1729" i="131"/>
  <c r="U1728" i="131" s="1"/>
  <c r="U1727" i="131" s="1"/>
  <c r="U1726" i="131" s="1"/>
  <c r="U1725" i="131" s="1"/>
  <c r="U2458" i="131" s="1"/>
  <c r="V1729" i="131"/>
  <c r="V1728" i="131" s="1"/>
  <c r="V1727" i="131" s="1"/>
  <c r="V1726" i="131" s="1"/>
  <c r="V1725" i="131" s="1"/>
  <c r="V2458" i="131" s="1"/>
  <c r="T1730" i="131"/>
  <c r="W1730" i="131"/>
  <c r="G1735" i="131"/>
  <c r="H1735" i="131"/>
  <c r="N1735" i="131"/>
  <c r="N1734" i="131" s="1"/>
  <c r="N1733" i="131" s="1"/>
  <c r="N1732" i="131" s="1"/>
  <c r="N1731" i="131" s="1"/>
  <c r="N2459" i="131" s="1"/>
  <c r="U1735" i="131"/>
  <c r="U1734" i="131" s="1"/>
  <c r="U1733" i="131" s="1"/>
  <c r="U1732" i="131" s="1"/>
  <c r="U1731" i="131" s="1"/>
  <c r="U2459" i="131" s="1"/>
  <c r="V1735" i="131"/>
  <c r="V1734" i="131" s="1"/>
  <c r="V1733" i="131" s="1"/>
  <c r="V1732" i="131" s="1"/>
  <c r="V1731" i="131" s="1"/>
  <c r="V2459" i="131" s="1"/>
  <c r="T1736" i="131"/>
  <c r="W1736" i="131"/>
  <c r="G1741" i="131"/>
  <c r="H1741" i="131"/>
  <c r="N1741" i="131"/>
  <c r="U1741" i="131"/>
  <c r="V1741" i="131"/>
  <c r="T1742" i="131"/>
  <c r="W1742" i="131"/>
  <c r="G1743" i="131"/>
  <c r="H1743" i="131"/>
  <c r="U1743" i="131"/>
  <c r="V1743" i="131"/>
  <c r="T1744" i="131"/>
  <c r="W1744" i="131"/>
  <c r="G1745" i="131"/>
  <c r="H1745" i="131"/>
  <c r="U1745" i="131"/>
  <c r="V1745" i="131"/>
  <c r="W1746" i="131"/>
  <c r="G1747" i="131"/>
  <c r="H1747" i="131"/>
  <c r="U1747" i="131"/>
  <c r="V1747" i="131"/>
  <c r="T1748" i="131"/>
  <c r="W1748" i="131"/>
  <c r="G1749" i="131"/>
  <c r="H1749" i="131"/>
  <c r="U1749" i="131"/>
  <c r="V1749" i="131"/>
  <c r="W1750" i="131"/>
  <c r="X1750" i="131" s="1"/>
  <c r="G1751" i="131"/>
  <c r="H1751" i="131"/>
  <c r="U1751" i="131"/>
  <c r="V1751" i="131"/>
  <c r="W1752" i="131"/>
  <c r="G1753" i="131"/>
  <c r="H1753" i="131"/>
  <c r="U1753" i="131"/>
  <c r="V1753" i="131"/>
  <c r="W1754" i="131"/>
  <c r="U1755" i="131"/>
  <c r="V1755" i="131"/>
  <c r="N1756" i="131"/>
  <c r="N1755" i="131" s="1"/>
  <c r="P1756" i="131"/>
  <c r="T1756" i="131"/>
  <c r="W1756" i="131"/>
  <c r="H1758" i="131"/>
  <c r="N1758" i="131"/>
  <c r="U1758" i="131"/>
  <c r="V1758" i="131"/>
  <c r="P1759" i="131"/>
  <c r="T1759" i="131"/>
  <c r="W1759" i="131"/>
  <c r="G1760" i="131"/>
  <c r="K1760" i="131" s="1"/>
  <c r="H1760" i="131"/>
  <c r="N1760" i="131"/>
  <c r="U1760" i="131"/>
  <c r="V1760" i="131"/>
  <c r="T1761" i="131"/>
  <c r="W1761" i="131"/>
  <c r="G1762" i="131"/>
  <c r="H1762" i="131"/>
  <c r="U1762" i="131"/>
  <c r="V1762" i="131"/>
  <c r="T1763" i="131"/>
  <c r="W1763" i="131"/>
  <c r="G1765" i="131"/>
  <c r="H1765" i="131"/>
  <c r="U1765" i="131"/>
  <c r="U1764" i="131" s="1"/>
  <c r="V1765" i="131"/>
  <c r="V1764" i="131" s="1"/>
  <c r="T1766" i="131"/>
  <c r="W1766" i="131"/>
  <c r="G1772" i="131"/>
  <c r="G1771" i="131" s="1"/>
  <c r="H292" i="114" s="1"/>
  <c r="H291" i="114" s="1"/>
  <c r="H1772" i="131"/>
  <c r="H1771" i="131" s="1"/>
  <c r="G1781" i="131"/>
  <c r="H1781" i="131"/>
  <c r="V1781" i="131"/>
  <c r="U1782" i="131"/>
  <c r="U1781" i="131" s="1"/>
  <c r="U1783" i="131"/>
  <c r="V1783" i="131"/>
  <c r="W1784" i="131"/>
  <c r="H1789" i="131"/>
  <c r="N1789" i="131"/>
  <c r="U1789" i="131"/>
  <c r="V1789" i="131"/>
  <c r="T1790" i="131"/>
  <c r="W1790" i="131"/>
  <c r="W1791" i="131"/>
  <c r="G1792" i="131"/>
  <c r="H1792" i="131"/>
  <c r="U1792" i="131"/>
  <c r="V1792" i="131"/>
  <c r="W1793" i="131"/>
  <c r="W1794" i="131"/>
  <c r="X1794" i="131" s="1"/>
  <c r="G1795" i="131"/>
  <c r="H1795" i="131"/>
  <c r="U1795" i="131"/>
  <c r="V1795" i="131"/>
  <c r="T1796" i="131"/>
  <c r="W1796" i="131"/>
  <c r="T1797" i="131"/>
  <c r="W1797" i="131"/>
  <c r="N1798" i="131"/>
  <c r="N1795" i="131" s="1"/>
  <c r="T1798" i="131"/>
  <c r="W1798" i="131"/>
  <c r="T1799" i="131"/>
  <c r="W1799" i="131"/>
  <c r="T1800" i="131"/>
  <c r="W1800" i="131"/>
  <c r="T1802" i="131"/>
  <c r="W1802" i="131"/>
  <c r="T1803" i="131"/>
  <c r="W1803" i="131"/>
  <c r="U1807" i="131"/>
  <c r="V1807" i="131"/>
  <c r="N1810" i="131"/>
  <c r="N1807" i="131" s="1"/>
  <c r="T1810" i="131"/>
  <c r="W1810" i="131"/>
  <c r="T1811" i="131"/>
  <c r="W1811" i="131"/>
  <c r="G1815" i="131"/>
  <c r="H1815" i="131"/>
  <c r="U1815" i="131"/>
  <c r="V1815" i="131"/>
  <c r="G1817" i="131"/>
  <c r="H1817" i="131"/>
  <c r="U1817" i="131"/>
  <c r="V1817" i="131"/>
  <c r="U1823" i="131"/>
  <c r="V1823" i="131"/>
  <c r="G1855" i="131"/>
  <c r="H1855" i="131"/>
  <c r="H1854" i="131" s="1"/>
  <c r="U1855" i="131"/>
  <c r="U1854" i="131" s="1"/>
  <c r="V1855" i="131"/>
  <c r="V1854" i="131" s="1"/>
  <c r="W1856" i="131"/>
  <c r="W1857" i="131"/>
  <c r="G1859" i="131"/>
  <c r="H1859" i="131"/>
  <c r="U1859" i="131"/>
  <c r="V1859" i="131"/>
  <c r="W1860" i="131"/>
  <c r="W1861" i="131"/>
  <c r="G1862" i="131"/>
  <c r="H1862" i="131"/>
  <c r="U1862" i="131"/>
  <c r="V1862" i="131"/>
  <c r="G1865" i="131"/>
  <c r="H1865" i="131"/>
  <c r="N1865" i="131"/>
  <c r="U1865" i="131"/>
  <c r="V1865" i="131"/>
  <c r="T1866" i="131"/>
  <c r="W1866" i="131"/>
  <c r="G1867" i="131"/>
  <c r="H1867" i="131"/>
  <c r="N1867" i="131"/>
  <c r="U1867" i="131"/>
  <c r="V1867" i="131"/>
  <c r="T1868" i="131"/>
  <c r="W1868" i="131"/>
  <c r="U1871" i="131"/>
  <c r="V1871" i="131"/>
  <c r="U1873" i="131"/>
  <c r="V1873" i="131"/>
  <c r="N1891" i="131"/>
  <c r="N1890" i="131" s="1"/>
  <c r="N2388" i="131" s="1"/>
  <c r="G1892" i="131"/>
  <c r="G1891" i="131" s="1"/>
  <c r="H1892" i="131"/>
  <c r="U1892" i="131"/>
  <c r="U1891" i="131" s="1"/>
  <c r="V1892" i="131"/>
  <c r="V1891" i="131" s="1"/>
  <c r="T1893" i="131"/>
  <c r="W1893" i="131"/>
  <c r="N1897" i="131"/>
  <c r="G1898" i="131"/>
  <c r="G1897" i="131" s="1"/>
  <c r="H145" i="114" s="1"/>
  <c r="H144" i="114" s="1"/>
  <c r="H1898" i="131"/>
  <c r="U1898" i="131"/>
  <c r="U1897" i="131" s="1"/>
  <c r="V1898" i="131"/>
  <c r="V1897" i="131" s="1"/>
  <c r="T1899" i="131"/>
  <c r="W1899" i="131"/>
  <c r="G1901" i="131"/>
  <c r="G1900" i="131" s="1"/>
  <c r="H1901" i="131"/>
  <c r="H1900" i="131" s="1"/>
  <c r="I147" i="114" s="1"/>
  <c r="I146" i="114" s="1"/>
  <c r="G1905" i="131"/>
  <c r="G1904" i="131" s="1"/>
  <c r="H1905" i="131"/>
  <c r="H1904" i="131" s="1"/>
  <c r="H1903" i="131" s="1"/>
  <c r="G1983" i="131"/>
  <c r="H1983" i="131"/>
  <c r="U1983" i="131"/>
  <c r="U1971" i="131" s="1"/>
  <c r="U1970" i="131" s="1"/>
  <c r="V1983" i="131"/>
  <c r="V1971" i="131" s="1"/>
  <c r="V1970" i="131" s="1"/>
  <c r="T1984" i="131"/>
  <c r="W1984" i="131"/>
  <c r="H1988" i="131"/>
  <c r="H1986" i="131" s="1"/>
  <c r="U1988" i="131"/>
  <c r="V1988" i="131"/>
  <c r="T1989" i="131"/>
  <c r="W1989" i="131"/>
  <c r="H1991" i="131"/>
  <c r="U1991" i="131"/>
  <c r="V1991" i="131"/>
  <c r="W1992" i="131"/>
  <c r="G1994" i="131"/>
  <c r="H1994" i="131"/>
  <c r="U1994" i="131"/>
  <c r="V1994" i="131"/>
  <c r="W1995" i="131"/>
  <c r="G1996" i="131"/>
  <c r="H1996" i="131"/>
  <c r="U1996" i="131"/>
  <c r="V1996" i="131"/>
  <c r="T1997" i="131"/>
  <c r="W1997" i="131"/>
  <c r="G1998" i="131"/>
  <c r="H1998" i="131"/>
  <c r="U1998" i="131"/>
  <c r="V1998" i="131"/>
  <c r="T1999" i="131"/>
  <c r="W1999" i="131"/>
  <c r="G2000" i="131"/>
  <c r="H2000" i="131"/>
  <c r="N2000" i="131"/>
  <c r="U2000" i="131"/>
  <c r="V2000" i="131"/>
  <c r="T2001" i="131"/>
  <c r="W2001" i="131"/>
  <c r="T2002" i="131"/>
  <c r="W2002" i="131"/>
  <c r="G2004" i="131"/>
  <c r="H2004" i="131"/>
  <c r="N2004" i="131"/>
  <c r="U2004" i="131"/>
  <c r="V2004" i="131"/>
  <c r="T2006" i="131"/>
  <c r="W2006" i="131"/>
  <c r="G2008" i="131"/>
  <c r="H2008" i="131"/>
  <c r="N2008" i="131"/>
  <c r="U2008" i="131"/>
  <c r="V2008" i="131"/>
  <c r="T2009" i="131"/>
  <c r="W2009" i="131"/>
  <c r="G2010" i="131"/>
  <c r="H2010" i="131"/>
  <c r="U2010" i="131"/>
  <c r="V2010" i="131"/>
  <c r="N2011" i="131"/>
  <c r="N2010" i="131"/>
  <c r="T2011" i="131"/>
  <c r="W2011" i="131"/>
  <c r="G2012" i="131"/>
  <c r="T2012" i="131" s="1"/>
  <c r="H2012" i="131"/>
  <c r="U2012" i="131"/>
  <c r="V2012" i="131"/>
  <c r="T2013" i="131"/>
  <c r="W2013" i="131"/>
  <c r="G2014" i="131"/>
  <c r="H2014" i="131"/>
  <c r="U2014" i="131"/>
  <c r="V2014" i="131"/>
  <c r="T2015" i="131"/>
  <c r="W2015" i="131"/>
  <c r="N2016" i="131"/>
  <c r="N2014" i="131"/>
  <c r="T2016" i="131"/>
  <c r="W2016" i="131"/>
  <c r="G2017" i="131"/>
  <c r="H2017" i="131"/>
  <c r="U2017" i="131"/>
  <c r="V2017" i="131"/>
  <c r="T2018" i="131"/>
  <c r="W2018" i="131"/>
  <c r="N2019" i="131"/>
  <c r="N2017" i="131" s="1"/>
  <c r="T2019" i="131"/>
  <c r="W2019" i="131"/>
  <c r="W2020" i="131"/>
  <c r="W2021" i="131"/>
  <c r="W2022" i="131"/>
  <c r="W2023" i="131"/>
  <c r="G2026" i="131"/>
  <c r="T2026" i="131" s="1"/>
  <c r="H2026" i="131"/>
  <c r="N2026" i="131"/>
  <c r="U2026" i="131"/>
  <c r="V2026" i="131"/>
  <c r="T2027" i="131"/>
  <c r="W2027" i="131"/>
  <c r="T2028" i="131"/>
  <c r="W2028" i="131"/>
  <c r="G2029" i="131"/>
  <c r="H2029" i="131"/>
  <c r="L2029" i="131" s="1"/>
  <c r="N2029" i="131"/>
  <c r="U2029" i="131"/>
  <c r="V2029" i="131"/>
  <c r="T2030" i="131"/>
  <c r="W2030" i="131"/>
  <c r="G2031" i="131"/>
  <c r="K2031" i="131" s="1"/>
  <c r="M2031" i="131" s="1"/>
  <c r="H2031" i="131"/>
  <c r="U2031" i="131"/>
  <c r="V2031" i="131"/>
  <c r="T2032" i="131"/>
  <c r="W2032" i="131"/>
  <c r="G2033" i="131"/>
  <c r="H2033" i="131"/>
  <c r="U2033" i="131"/>
  <c r="V2033" i="131"/>
  <c r="T2034" i="131"/>
  <c r="W2034" i="131"/>
  <c r="G2040" i="131"/>
  <c r="K2040" i="131" s="1"/>
  <c r="M2040" i="131" s="1"/>
  <c r="H2040" i="131"/>
  <c r="U2040" i="131"/>
  <c r="V2040" i="131"/>
  <c r="W2041" i="131"/>
  <c r="W2043" i="131"/>
  <c r="G2044" i="131"/>
  <c r="H2044" i="131"/>
  <c r="U2044" i="131"/>
  <c r="V2044" i="131"/>
  <c r="W2045" i="131"/>
  <c r="W2046" i="131"/>
  <c r="W2047" i="131"/>
  <c r="G2048" i="131"/>
  <c r="H2048" i="131"/>
  <c r="U2048" i="131"/>
  <c r="V2048" i="131"/>
  <c r="W2051" i="131"/>
  <c r="G2057" i="131"/>
  <c r="H2057" i="131"/>
  <c r="H2056" i="131" s="1"/>
  <c r="U2057" i="131"/>
  <c r="U2056" i="131" s="1"/>
  <c r="V2057" i="131"/>
  <c r="V2056" i="131" s="1"/>
  <c r="G2069" i="131"/>
  <c r="G2068" i="131" s="1"/>
  <c r="H2069" i="131"/>
  <c r="H2068" i="131" s="1"/>
  <c r="U2069" i="131"/>
  <c r="U2068" i="131" s="1"/>
  <c r="U2067" i="131" s="1"/>
  <c r="V2069" i="131"/>
  <c r="V2068" i="131" s="1"/>
  <c r="V2067" i="131" s="1"/>
  <c r="H2073" i="131"/>
  <c r="H2072" i="131" s="1"/>
  <c r="G2073" i="131"/>
  <c r="G2072" i="131" s="1"/>
  <c r="H319" i="114" s="1"/>
  <c r="H318" i="114" s="1"/>
  <c r="H2076" i="131"/>
  <c r="H2075" i="131" s="1"/>
  <c r="H2079" i="131"/>
  <c r="H2078" i="131" s="1"/>
  <c r="I323" i="114" s="1"/>
  <c r="I322" i="114" s="1"/>
  <c r="G2083" i="131"/>
  <c r="G2082" i="131" s="1"/>
  <c r="G2081" i="131" s="1"/>
  <c r="H2083" i="131"/>
  <c r="H2082" i="131" s="1"/>
  <c r="I326" i="114" s="1"/>
  <c r="I325" i="114" s="1"/>
  <c r="I324" i="114" s="1"/>
  <c r="H2092" i="131"/>
  <c r="U2092" i="131"/>
  <c r="V2092" i="131"/>
  <c r="G2096" i="131"/>
  <c r="H2096" i="131"/>
  <c r="N2096" i="131"/>
  <c r="U2096" i="131"/>
  <c r="V2096" i="131"/>
  <c r="T2097" i="131"/>
  <c r="W2097" i="131"/>
  <c r="T2098" i="131"/>
  <c r="W2098" i="131"/>
  <c r="X2098" i="131" s="1"/>
  <c r="G2100" i="131"/>
  <c r="K2100" i="131" s="1"/>
  <c r="M2100" i="131" s="1"/>
  <c r="H2100" i="131"/>
  <c r="N2100" i="131"/>
  <c r="N2089" i="131" s="1"/>
  <c r="N2059" i="131" s="1"/>
  <c r="N2035" i="131" s="1"/>
  <c r="U2100" i="131"/>
  <c r="V2100" i="131"/>
  <c r="T2101" i="131"/>
  <c r="W2101" i="131"/>
  <c r="T2102" i="131"/>
  <c r="W2102" i="131"/>
  <c r="G2143" i="131"/>
  <c r="G2142" i="131" s="1"/>
  <c r="H2143" i="131"/>
  <c r="H2142" i="131" s="1"/>
  <c r="U2143" i="131"/>
  <c r="U2142" i="131" s="1"/>
  <c r="V2143" i="131"/>
  <c r="V2142" i="131" s="1"/>
  <c r="H2149" i="131"/>
  <c r="H2148" i="131" s="1"/>
  <c r="I205" i="114" s="1"/>
  <c r="I204" i="114" s="1"/>
  <c r="G2152" i="131"/>
  <c r="G2151" i="131" s="1"/>
  <c r="H2152" i="131"/>
  <c r="H2151" i="131" s="1"/>
  <c r="L2151" i="131" s="1"/>
  <c r="M207" i="114" s="1"/>
  <c r="M206" i="114" s="1"/>
  <c r="U2152" i="131"/>
  <c r="U2151" i="131" s="1"/>
  <c r="V2152" i="131"/>
  <c r="V2151" i="131" s="1"/>
  <c r="G2164" i="131"/>
  <c r="H2164" i="131"/>
  <c r="U2164" i="131"/>
  <c r="V2164" i="131"/>
  <c r="W2165" i="131"/>
  <c r="G2166" i="131"/>
  <c r="H2166" i="131"/>
  <c r="U2166" i="131"/>
  <c r="V2166" i="131"/>
  <c r="W2167" i="131"/>
  <c r="G2171" i="131"/>
  <c r="G2170" i="131" s="1"/>
  <c r="G2169" i="131" s="1"/>
  <c r="H2171" i="131"/>
  <c r="H2170" i="131" s="1"/>
  <c r="U2171" i="131"/>
  <c r="U2170" i="131" s="1"/>
  <c r="U2169" i="131" s="1"/>
  <c r="U2168" i="131" s="1"/>
  <c r="V2171" i="131"/>
  <c r="V2170" i="131" s="1"/>
  <c r="V2169" i="131" s="1"/>
  <c r="V2168" i="131" s="1"/>
  <c r="W2172" i="131"/>
  <c r="N2175" i="131"/>
  <c r="N2177" i="131"/>
  <c r="G2178" i="131"/>
  <c r="W2178" i="131" s="1"/>
  <c r="H2178" i="131"/>
  <c r="U2178" i="131"/>
  <c r="U2177" i="131" s="1"/>
  <c r="U2176" i="131" s="1"/>
  <c r="U2175" i="131" s="1"/>
  <c r="V2178" i="131"/>
  <c r="V2177" i="131" s="1"/>
  <c r="V2176" i="131" s="1"/>
  <c r="V2175" i="131" s="1"/>
  <c r="W2179" i="131"/>
  <c r="G2182" i="131"/>
  <c r="G2181" i="131" s="1"/>
  <c r="H2182" i="131"/>
  <c r="U2182" i="131"/>
  <c r="U2181" i="131" s="1"/>
  <c r="V2182" i="131"/>
  <c r="V2181" i="131" s="1"/>
  <c r="G2185" i="131"/>
  <c r="G2184" i="131" s="1"/>
  <c r="H2185" i="131"/>
  <c r="H2184" i="131" s="1"/>
  <c r="U2185" i="131"/>
  <c r="U2184" i="131" s="1"/>
  <c r="V2185" i="131"/>
  <c r="V2184" i="131" s="1"/>
  <c r="G2188" i="131"/>
  <c r="H2188" i="131"/>
  <c r="H2187" i="131" s="1"/>
  <c r="U2188" i="131"/>
  <c r="U2187" i="131" s="1"/>
  <c r="V2188" i="131"/>
  <c r="V2187" i="131" s="1"/>
  <c r="G2193" i="131"/>
  <c r="H2193" i="131"/>
  <c r="H2192" i="131" s="1"/>
  <c r="U2193" i="131"/>
  <c r="U2192" i="131" s="1"/>
  <c r="U2191" i="131" s="1"/>
  <c r="U2190" i="131" s="1"/>
  <c r="V2193" i="131"/>
  <c r="V2192" i="131" s="1"/>
  <c r="V2191" i="131" s="1"/>
  <c r="V2190" i="131" s="1"/>
  <c r="G2196" i="131"/>
  <c r="H2196" i="131"/>
  <c r="U2196" i="131"/>
  <c r="V2196" i="131"/>
  <c r="W2197" i="131"/>
  <c r="G2198" i="131"/>
  <c r="T2198" i="131" s="1"/>
  <c r="H2198" i="131"/>
  <c r="N2198" i="131"/>
  <c r="U2198" i="131"/>
  <c r="V2198" i="131"/>
  <c r="T2199" i="131"/>
  <c r="W2199" i="131"/>
  <c r="G2200" i="131"/>
  <c r="H2200" i="131"/>
  <c r="N2200" i="131"/>
  <c r="U2200" i="131"/>
  <c r="V2200" i="131"/>
  <c r="T2201" i="131"/>
  <c r="W2201" i="131"/>
  <c r="G2202" i="131"/>
  <c r="H2202" i="131"/>
  <c r="U2202" i="131"/>
  <c r="V2202" i="131"/>
  <c r="G2204" i="131"/>
  <c r="H2204" i="131"/>
  <c r="U2204" i="131"/>
  <c r="V2204" i="131"/>
  <c r="T2205" i="131"/>
  <c r="W2205" i="131"/>
  <c r="G2206" i="131"/>
  <c r="K2206" i="131" s="1"/>
  <c r="H2206" i="131"/>
  <c r="U2206" i="131"/>
  <c r="V2206" i="131"/>
  <c r="W2207" i="131"/>
  <c r="G2208" i="131"/>
  <c r="H2208" i="131"/>
  <c r="U2208" i="131"/>
  <c r="V2208" i="131"/>
  <c r="W2209" i="131"/>
  <c r="G2214" i="131"/>
  <c r="H2214" i="131"/>
  <c r="U2214" i="131"/>
  <c r="V2214" i="131"/>
  <c r="W2215" i="131"/>
  <c r="W2216" i="131"/>
  <c r="W2217" i="131"/>
  <c r="W2218" i="131"/>
  <c r="W2219" i="131"/>
  <c r="W2220" i="131"/>
  <c r="G2221" i="131"/>
  <c r="H2221" i="131"/>
  <c r="L2221" i="131" s="1"/>
  <c r="U2221" i="131"/>
  <c r="V2221" i="131"/>
  <c r="W2222" i="131"/>
  <c r="W2223" i="131"/>
  <c r="G2229" i="131"/>
  <c r="H2229" i="131"/>
  <c r="H2228" i="131" s="1"/>
  <c r="U2229" i="131"/>
  <c r="U2228" i="131" s="1"/>
  <c r="V2229" i="131"/>
  <c r="V2228" i="131" s="1"/>
  <c r="W2230" i="131"/>
  <c r="G2232" i="131"/>
  <c r="G2231" i="131" s="1"/>
  <c r="H132" i="114" s="1"/>
  <c r="H2232" i="131"/>
  <c r="H2231" i="131" s="1"/>
  <c r="U2232" i="131"/>
  <c r="U2231" i="131" s="1"/>
  <c r="V2232" i="131"/>
  <c r="V2231" i="131" s="1"/>
  <c r="G2235" i="131"/>
  <c r="G2234" i="131" s="1"/>
  <c r="H134" i="114" s="1"/>
  <c r="H2235" i="131"/>
  <c r="H2234" i="131" s="1"/>
  <c r="U2235" i="131"/>
  <c r="U2234" i="131" s="1"/>
  <c r="V2235" i="131"/>
  <c r="V2234" i="131" s="1"/>
  <c r="G2238" i="131"/>
  <c r="G2237" i="131" s="1"/>
  <c r="H136" i="114" s="1"/>
  <c r="H135" i="114" s="1"/>
  <c r="H2238" i="131"/>
  <c r="H2237" i="131" s="1"/>
  <c r="I136" i="114" s="1"/>
  <c r="U2238" i="131"/>
  <c r="U2237" i="131" s="1"/>
  <c r="V2238" i="131"/>
  <c r="V2237" i="131" s="1"/>
  <c r="H2241" i="131"/>
  <c r="L2241" i="131" s="1"/>
  <c r="U2241" i="131"/>
  <c r="U2240" i="131" s="1"/>
  <c r="V2241" i="131"/>
  <c r="V2240" i="131" s="1"/>
  <c r="G2241" i="131"/>
  <c r="G2259" i="131"/>
  <c r="G2258" i="131" s="1"/>
  <c r="H2259" i="131"/>
  <c r="H2258" i="131" s="1"/>
  <c r="U2259" i="131"/>
  <c r="U2258" i="131" s="1"/>
  <c r="U2248" i="131" s="1"/>
  <c r="V2259" i="131"/>
  <c r="V2258" i="131" s="1"/>
  <c r="V2248" i="131" s="1"/>
  <c r="W2260" i="131"/>
  <c r="G2269" i="131"/>
  <c r="H2269" i="131"/>
  <c r="L2269" i="131" s="1"/>
  <c r="U2269" i="131"/>
  <c r="V2269" i="131"/>
  <c r="W2270" i="131"/>
  <c r="G2271" i="131"/>
  <c r="H2271" i="131"/>
  <c r="U2271" i="131"/>
  <c r="V2271" i="131"/>
  <c r="W2272" i="131"/>
  <c r="G2273" i="131"/>
  <c r="H2273" i="131"/>
  <c r="U2273" i="131"/>
  <c r="V2273" i="131"/>
  <c r="W2274" i="131"/>
  <c r="G2275" i="131"/>
  <c r="H2275" i="131"/>
  <c r="U2275" i="131"/>
  <c r="V2275" i="131"/>
  <c r="W2276" i="131"/>
  <c r="G2277" i="131"/>
  <c r="H2277" i="131"/>
  <c r="L2277" i="131" s="1"/>
  <c r="U2277" i="131"/>
  <c r="V2277" i="131"/>
  <c r="W2278" i="131"/>
  <c r="G2280" i="131"/>
  <c r="G2279" i="131" s="1"/>
  <c r="H2280" i="131"/>
  <c r="H2279" i="131" s="1"/>
  <c r="U2280" i="131"/>
  <c r="U2279" i="131" s="1"/>
  <c r="V2280" i="131"/>
  <c r="V2279" i="131" s="1"/>
  <c r="W2281" i="131"/>
  <c r="H2286" i="131"/>
  <c r="H2285" i="131" s="1"/>
  <c r="H2284" i="131" s="1"/>
  <c r="H2283" i="131" s="1"/>
  <c r="G2293" i="131"/>
  <c r="G2292" i="131" s="1"/>
  <c r="H111" i="114" s="1"/>
  <c r="H110" i="114" s="1"/>
  <c r="H2293" i="131"/>
  <c r="H2292" i="131" s="1"/>
  <c r="I111" i="114" s="1"/>
  <c r="U2293" i="131"/>
  <c r="U2292" i="131" s="1"/>
  <c r="V2293" i="131"/>
  <c r="V2292" i="131" s="1"/>
  <c r="W2294" i="131"/>
  <c r="W2295" i="131"/>
  <c r="W2296" i="131"/>
  <c r="G2298" i="131"/>
  <c r="G2297" i="131" s="1"/>
  <c r="H2298" i="131"/>
  <c r="H2297" i="131" s="1"/>
  <c r="I115" i="114" s="1"/>
  <c r="I114" i="114" s="1"/>
  <c r="U2298" i="131"/>
  <c r="U2297" i="131" s="1"/>
  <c r="V2298" i="131"/>
  <c r="V2297" i="131" s="1"/>
  <c r="G2301" i="131"/>
  <c r="G2300" i="131" s="1"/>
  <c r="H2301" i="131"/>
  <c r="H2300" i="131" s="1"/>
  <c r="U2301" i="131"/>
  <c r="U2300" i="131" s="1"/>
  <c r="V2301" i="131"/>
  <c r="V2300" i="131" s="1"/>
  <c r="H2304" i="131"/>
  <c r="V2304" i="131"/>
  <c r="G2305" i="131"/>
  <c r="H2305" i="131"/>
  <c r="H2303" i="131" s="1"/>
  <c r="U2305" i="131"/>
  <c r="U2304" i="131" s="1"/>
  <c r="U2303" i="131" s="1"/>
  <c r="V2305" i="131"/>
  <c r="V2303" i="131" s="1"/>
  <c r="W2306" i="131"/>
  <c r="W2307" i="131"/>
  <c r="H2308" i="131"/>
  <c r="V2308" i="131"/>
  <c r="G2309" i="131"/>
  <c r="U2309" i="131"/>
  <c r="U2308" i="131" s="1"/>
  <c r="G2310" i="131"/>
  <c r="H2310" i="131"/>
  <c r="U2310" i="131"/>
  <c r="V2310" i="131"/>
  <c r="W2311" i="131"/>
  <c r="X2311" i="131" s="1"/>
  <c r="G2328" i="131"/>
  <c r="H2328" i="131"/>
  <c r="U2328" i="131"/>
  <c r="V2328" i="131"/>
  <c r="W2329" i="131"/>
  <c r="G2330" i="131"/>
  <c r="H2330" i="131"/>
  <c r="L2330" i="131" s="1"/>
  <c r="U2330" i="131"/>
  <c r="V2330" i="131"/>
  <c r="H2332" i="131"/>
  <c r="G2334" i="131"/>
  <c r="H2334" i="131"/>
  <c r="U2334" i="131"/>
  <c r="V2334" i="131"/>
  <c r="W2335" i="131"/>
  <c r="G2346" i="131"/>
  <c r="H2346" i="131"/>
  <c r="U2346" i="131"/>
  <c r="V2346" i="131"/>
  <c r="W2347" i="131"/>
  <c r="W2348" i="131"/>
  <c r="W2349" i="131"/>
  <c r="W2350" i="131"/>
  <c r="W2351" i="131"/>
  <c r="X2351" i="131" s="1"/>
  <c r="W2352" i="131"/>
  <c r="G2356" i="131"/>
  <c r="H2356" i="131"/>
  <c r="U2356" i="131"/>
  <c r="V2356" i="131"/>
  <c r="W2358" i="131"/>
  <c r="G2364" i="131"/>
  <c r="H2364" i="131"/>
  <c r="H2363" i="131" s="1"/>
  <c r="P2364" i="131"/>
  <c r="U2364" i="131"/>
  <c r="U2363" i="131" s="1"/>
  <c r="U2362" i="131" s="1"/>
  <c r="U2361" i="131" s="1"/>
  <c r="U2360" i="131" s="1"/>
  <c r="U2359" i="131" s="1"/>
  <c r="V2364" i="131"/>
  <c r="V2363" i="131" s="1"/>
  <c r="V2362" i="131" s="1"/>
  <c r="V2361" i="131" s="1"/>
  <c r="V2360" i="131" s="1"/>
  <c r="V2359" i="131" s="1"/>
  <c r="N2367" i="131"/>
  <c r="P2367" i="131"/>
  <c r="U2367" i="131"/>
  <c r="H2373" i="131"/>
  <c r="L2373" i="131"/>
  <c r="V2373" i="131"/>
  <c r="T2374" i="131"/>
  <c r="N2385" i="131"/>
  <c r="T2388" i="131"/>
  <c r="T2397" i="131" s="1"/>
  <c r="X2393" i="131"/>
  <c r="N2418" i="131"/>
  <c r="N2420" i="131"/>
  <c r="N2425" i="131" s="1"/>
  <c r="N2429" i="131"/>
  <c r="V2466" i="131"/>
  <c r="A2468" i="131"/>
  <c r="B2468" i="131"/>
  <c r="C2468" i="131"/>
  <c r="D2468" i="131"/>
  <c r="E2468" i="131"/>
  <c r="F2468" i="131"/>
  <c r="A2469" i="131"/>
  <c r="B2469" i="131"/>
  <c r="C2469" i="131"/>
  <c r="D2469" i="131"/>
  <c r="E2469" i="131"/>
  <c r="F2469" i="131"/>
  <c r="A2470" i="131"/>
  <c r="B2470" i="131"/>
  <c r="C2470" i="131"/>
  <c r="D2470" i="131"/>
  <c r="E2470" i="131"/>
  <c r="F2470" i="131"/>
  <c r="A2471" i="131"/>
  <c r="B2471" i="131"/>
  <c r="C2471" i="131"/>
  <c r="D2471" i="131"/>
  <c r="E2471" i="131"/>
  <c r="F2471" i="131"/>
  <c r="A2472" i="131"/>
  <c r="B2472" i="131"/>
  <c r="C2472" i="131"/>
  <c r="D2472" i="131"/>
  <c r="E2472" i="131"/>
  <c r="F2472" i="131"/>
  <c r="A2473" i="131"/>
  <c r="B2473" i="131"/>
  <c r="C2473" i="131"/>
  <c r="D2473" i="131"/>
  <c r="E2473" i="131"/>
  <c r="F2473" i="131"/>
  <c r="A2474" i="131"/>
  <c r="B2474" i="131"/>
  <c r="C2474" i="131"/>
  <c r="D2474" i="131"/>
  <c r="E2474" i="131"/>
  <c r="F2474" i="131"/>
  <c r="A2475" i="131"/>
  <c r="B2475" i="131"/>
  <c r="C2475" i="131"/>
  <c r="D2475" i="131"/>
  <c r="E2475" i="131"/>
  <c r="F2475" i="131"/>
  <c r="A2476" i="131"/>
  <c r="B2476" i="131"/>
  <c r="C2476" i="131"/>
  <c r="D2476" i="131"/>
  <c r="E2476" i="131"/>
  <c r="F2476" i="131"/>
  <c r="A2477" i="131"/>
  <c r="B2477" i="131"/>
  <c r="C2477" i="131"/>
  <c r="D2477" i="131"/>
  <c r="E2477" i="131"/>
  <c r="F2477" i="131"/>
  <c r="K2478" i="131"/>
  <c r="N2478" i="131"/>
  <c r="L2479" i="131"/>
  <c r="H2485" i="131"/>
  <c r="H2486" i="131"/>
  <c r="V2486" i="131"/>
  <c r="G3068" i="131"/>
  <c r="K3068" i="131"/>
  <c r="N3068" i="131"/>
  <c r="U3068" i="131"/>
  <c r="G18" i="36"/>
  <c r="H18" i="36"/>
  <c r="G20" i="36"/>
  <c r="H20" i="36"/>
  <c r="G21" i="36"/>
  <c r="H21" i="36"/>
  <c r="C23" i="36"/>
  <c r="L23" i="36" s="1"/>
  <c r="D23" i="36"/>
  <c r="E23" i="36"/>
  <c r="F23" i="36"/>
  <c r="G23" i="36"/>
  <c r="H23" i="36"/>
  <c r="G50" i="36"/>
  <c r="H50" i="36"/>
  <c r="AM7" i="1"/>
  <c r="D10" i="1"/>
  <c r="AJ10" i="1"/>
  <c r="AK11" i="1"/>
  <c r="D12" i="1"/>
  <c r="AJ12" i="1"/>
  <c r="AK13" i="1"/>
  <c r="D14" i="1"/>
  <c r="AJ15" i="1"/>
  <c r="AJ14" i="1" s="1"/>
  <c r="AK16" i="1"/>
  <c r="D20" i="1"/>
  <c r="D19" i="1" s="1"/>
  <c r="AJ20" i="1"/>
  <c r="AJ19" i="1" s="1"/>
  <c r="AK21" i="1"/>
  <c r="D23" i="1"/>
  <c r="AJ23" i="1"/>
  <c r="AJ22" i="1" s="1"/>
  <c r="AK24" i="1"/>
  <c r="AO24" i="1"/>
  <c r="AQ24" i="1" s="1"/>
  <c r="AP23" i="1" s="1"/>
  <c r="AK27" i="1"/>
  <c r="D28" i="1"/>
  <c r="D26" i="1" s="1"/>
  <c r="D25" i="1" s="1"/>
  <c r="AJ28" i="1"/>
  <c r="AJ26" i="1" s="1"/>
  <c r="AK29" i="1"/>
  <c r="D34" i="1"/>
  <c r="D33" i="1" s="1"/>
  <c r="F33" i="1" s="1"/>
  <c r="D37" i="1"/>
  <c r="D36" i="1" s="1"/>
  <c r="D40" i="1"/>
  <c r="AJ41" i="1"/>
  <c r="AJ40" i="1" s="1"/>
  <c r="D43" i="1"/>
  <c r="D42" i="1" s="1"/>
  <c r="AJ43" i="1"/>
  <c r="AK44" i="1"/>
  <c r="D46" i="1"/>
  <c r="D45" i="1" s="1"/>
  <c r="AJ46" i="1"/>
  <c r="AJ45" i="1" s="1"/>
  <c r="AK47" i="1"/>
  <c r="D58" i="1"/>
  <c r="AJ58" i="1"/>
  <c r="AJ57" i="1" s="1"/>
  <c r="AK59" i="1"/>
  <c r="D61" i="1"/>
  <c r="D60" i="1" s="1"/>
  <c r="AJ61" i="1"/>
  <c r="AJ60" i="1" s="1"/>
  <c r="I62" i="1"/>
  <c r="AK62" i="1"/>
  <c r="D64" i="1"/>
  <c r="D63" i="1" s="1"/>
  <c r="F63" i="1" s="1"/>
  <c r="D67" i="1"/>
  <c r="D66" i="1" s="1"/>
  <c r="D70" i="1"/>
  <c r="D69" i="1" s="1"/>
  <c r="I72" i="1"/>
  <c r="AJ73" i="1"/>
  <c r="AJ72" i="1" s="1"/>
  <c r="AK74" i="1"/>
  <c r="D77" i="1"/>
  <c r="D76" i="1" s="1"/>
  <c r="AJ77" i="1"/>
  <c r="AJ76" i="1" s="1"/>
  <c r="AK78" i="1"/>
  <c r="D80" i="1"/>
  <c r="D79" i="1" s="1"/>
  <c r="AJ80" i="1"/>
  <c r="AJ79" i="1" s="1"/>
  <c r="AK81" i="1"/>
  <c r="D83" i="1"/>
  <c r="D82" i="1" s="1"/>
  <c r="F82" i="1" s="1"/>
  <c r="AJ83" i="1"/>
  <c r="AJ82" i="1" s="1"/>
  <c r="AK84" i="1"/>
  <c r="D86" i="1"/>
  <c r="D85" i="1" s="1"/>
  <c r="AJ86" i="1"/>
  <c r="AK86" i="1" s="1"/>
  <c r="AK87" i="1"/>
  <c r="D90" i="1"/>
  <c r="D94" i="1"/>
  <c r="AK95" i="1"/>
  <c r="D92" i="1"/>
  <c r="D308" i="1" s="1"/>
  <c r="D99" i="1"/>
  <c r="AJ99" i="1"/>
  <c r="AJ89" i="1" s="1"/>
  <c r="AJ88" i="1" s="1"/>
  <c r="AK101" i="1"/>
  <c r="AJ109" i="1"/>
  <c r="AJ108" i="1" s="1"/>
  <c r="AK111" i="1"/>
  <c r="D113" i="1"/>
  <c r="D112" i="1" s="1"/>
  <c r="AJ119" i="1"/>
  <c r="AJ118" i="1" s="1"/>
  <c r="AK120" i="1"/>
  <c r="AK121" i="1"/>
  <c r="AK122" i="1"/>
  <c r="AK123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1" i="1"/>
  <c r="AK142" i="1"/>
  <c r="I143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H157" i="1"/>
  <c r="I157" i="1"/>
  <c r="AK157" i="1"/>
  <c r="AK158" i="1"/>
  <c r="AK159" i="1"/>
  <c r="AK160" i="1"/>
  <c r="AK161" i="1"/>
  <c r="D163" i="1"/>
  <c r="F163" i="1" s="1"/>
  <c r="AJ163" i="1"/>
  <c r="AK164" i="1"/>
  <c r="AJ166" i="1"/>
  <c r="AK167" i="1"/>
  <c r="AK168" i="1"/>
  <c r="AK169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9" i="1"/>
  <c r="AK190" i="1"/>
  <c r="AK191" i="1"/>
  <c r="AK192" i="1"/>
  <c r="AK193" i="1"/>
  <c r="AK194" i="1"/>
  <c r="AK195" i="1"/>
  <c r="D197" i="1"/>
  <c r="D196" i="1" s="1"/>
  <c r="AJ197" i="1"/>
  <c r="AJ196" i="1" s="1"/>
  <c r="AK198" i="1"/>
  <c r="D200" i="1"/>
  <c r="D199" i="1" s="1"/>
  <c r="D203" i="1"/>
  <c r="AJ203" i="1"/>
  <c r="AJ202" i="1" s="1"/>
  <c r="AK204" i="1"/>
  <c r="AK205" i="1"/>
  <c r="AK206" i="1"/>
  <c r="AK207" i="1"/>
  <c r="AK209" i="1"/>
  <c r="AK210" i="1"/>
  <c r="AK213" i="1"/>
  <c r="AK214" i="1"/>
  <c r="AK215" i="1"/>
  <c r="AJ217" i="1"/>
  <c r="AJ212" i="1" s="1"/>
  <c r="AJ211" i="1" s="1"/>
  <c r="AJ219" i="1"/>
  <c r="AJ218" i="1" s="1"/>
  <c r="AK220" i="1"/>
  <c r="D225" i="1"/>
  <c r="AJ225" i="1"/>
  <c r="AJ224" i="1" s="1"/>
  <c r="AK226" i="1"/>
  <c r="D228" i="1"/>
  <c r="AJ228" i="1"/>
  <c r="AJ227" i="1" s="1"/>
  <c r="AK229" i="1"/>
  <c r="D231" i="1"/>
  <c r="D230" i="1" s="1"/>
  <c r="D234" i="1"/>
  <c r="D233" i="1" s="1"/>
  <c r="AJ238" i="1"/>
  <c r="AK239" i="1"/>
  <c r="AK241" i="1"/>
  <c r="D242" i="1"/>
  <c r="F242" i="1" s="1"/>
  <c r="AJ242" i="1"/>
  <c r="AK243" i="1"/>
  <c r="AK244" i="1"/>
  <c r="AK245" i="1"/>
  <c r="AK246" i="1"/>
  <c r="D249" i="1"/>
  <c r="D305" i="1" s="1"/>
  <c r="AJ249" i="1"/>
  <c r="AJ308" i="1" s="1"/>
  <c r="AK250" i="1"/>
  <c r="AJ251" i="1"/>
  <c r="AK252" i="1"/>
  <c r="AK253" i="1"/>
  <c r="AK254" i="1"/>
  <c r="AK255" i="1"/>
  <c r="AJ256" i="1"/>
  <c r="AJ310" i="1" s="1"/>
  <c r="F257" i="1"/>
  <c r="AK257" i="1"/>
  <c r="F258" i="1"/>
  <c r="AK258" i="1"/>
  <c r="F259" i="1"/>
  <c r="AK259" i="1"/>
  <c r="F260" i="1"/>
  <c r="AK260" i="1"/>
  <c r="F261" i="1"/>
  <c r="AK261" i="1"/>
  <c r="F262" i="1"/>
  <c r="AK262" i="1"/>
  <c r="F263" i="1"/>
  <c r="AK263" i="1"/>
  <c r="AJ264" i="1"/>
  <c r="AJ311" i="1" s="1"/>
  <c r="F265" i="1"/>
  <c r="AK265" i="1"/>
  <c r="F266" i="1"/>
  <c r="AK266" i="1"/>
  <c r="AJ267" i="1"/>
  <c r="AK267" i="1" s="1"/>
  <c r="F268" i="1"/>
  <c r="AK268" i="1"/>
  <c r="F269" i="1"/>
  <c r="F270" i="1"/>
  <c r="D273" i="1"/>
  <c r="AJ274" i="1"/>
  <c r="AJ273" i="1" s="1"/>
  <c r="AK276" i="1"/>
  <c r="F277" i="1"/>
  <c r="AK277" i="1"/>
  <c r="D279" i="1"/>
  <c r="AJ279" i="1"/>
  <c r="AJ278" i="1" s="1"/>
  <c r="AK280" i="1"/>
  <c r="AK282" i="1"/>
  <c r="AK283" i="1"/>
  <c r="F284" i="1"/>
  <c r="AK284" i="1"/>
  <c r="AJ286" i="1"/>
  <c r="AJ285" i="1" s="1"/>
  <c r="F287" i="1"/>
  <c r="AK287" i="1"/>
  <c r="F288" i="1"/>
  <c r="AK288" i="1"/>
  <c r="D289" i="1"/>
  <c r="AJ289" i="1"/>
  <c r="F290" i="1"/>
  <c r="F289" i="1" s="1"/>
  <c r="AK290" i="1"/>
  <c r="F293" i="1"/>
  <c r="AK293" i="1"/>
  <c r="F294" i="1"/>
  <c r="AK294" i="1"/>
  <c r="F297" i="1"/>
  <c r="AK297" i="1"/>
  <c r="F298" i="1"/>
  <c r="AK298" i="1"/>
  <c r="F299" i="1"/>
  <c r="AK299" i="1"/>
  <c r="F300" i="1"/>
  <c r="AK300" i="1"/>
  <c r="F301" i="1"/>
  <c r="AK301" i="1"/>
  <c r="AJ304" i="1"/>
  <c r="J305" i="1"/>
  <c r="K305" i="1"/>
  <c r="L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I306" i="1"/>
  <c r="AK306" i="1"/>
  <c r="AJ307" i="1"/>
  <c r="J310" i="1"/>
  <c r="K310" i="1"/>
  <c r="L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J312" i="1"/>
  <c r="K312" i="1"/>
  <c r="L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J5" i="121"/>
  <c r="E6" i="121"/>
  <c r="E86" i="121"/>
  <c r="E88" i="121"/>
  <c r="E89" i="121"/>
  <c r="E90" i="121"/>
  <c r="E91" i="121"/>
  <c r="E95" i="121"/>
  <c r="E96" i="121"/>
  <c r="E98" i="121"/>
  <c r="E99" i="121"/>
  <c r="E100" i="121"/>
  <c r="E101" i="121"/>
  <c r="E102" i="121"/>
  <c r="E103" i="121"/>
  <c r="E104" i="121"/>
  <c r="E105" i="121"/>
  <c r="E106" i="121"/>
  <c r="E108" i="121"/>
  <c r="E109" i="121"/>
  <c r="E110" i="121"/>
  <c r="E111" i="121"/>
  <c r="E112" i="121"/>
  <c r="E113" i="121"/>
  <c r="E114" i="121"/>
  <c r="E115" i="121"/>
  <c r="E116" i="121"/>
  <c r="E117" i="121"/>
  <c r="E118" i="121"/>
  <c r="E119" i="121"/>
  <c r="E120" i="121"/>
  <c r="E121" i="121"/>
  <c r="E122" i="121"/>
  <c r="E123" i="121"/>
  <c r="E124" i="121"/>
  <c r="E125" i="121"/>
  <c r="E126" i="121"/>
  <c r="E127" i="121"/>
  <c r="E128" i="121"/>
  <c r="E129" i="121"/>
  <c r="E130" i="121"/>
  <c r="E134" i="121"/>
  <c r="E136" i="121"/>
  <c r="J11" i="1"/>
  <c r="F217" i="1"/>
  <c r="AK216" i="1"/>
  <c r="D212" i="1"/>
  <c r="D211" i="1" s="1"/>
  <c r="AJ292" i="1"/>
  <c r="AJ291" i="1" s="1"/>
  <c r="G1503" i="131"/>
  <c r="G1036" i="131"/>
  <c r="G1035" i="131" s="1"/>
  <c r="G1034" i="131" s="1"/>
  <c r="W1037" i="131"/>
  <c r="X1037" i="131" s="1"/>
  <c r="W963" i="131"/>
  <c r="W429" i="131"/>
  <c r="G2149" i="131"/>
  <c r="M1487" i="131"/>
  <c r="M1494" i="131"/>
  <c r="W1462" i="131"/>
  <c r="T1462" i="131"/>
  <c r="G1461" i="131"/>
  <c r="G1143" i="131"/>
  <c r="T735" i="131"/>
  <c r="G734" i="131"/>
  <c r="K734" i="131" s="1"/>
  <c r="T1026" i="131"/>
  <c r="G428" i="131"/>
  <c r="T429" i="131"/>
  <c r="G2076" i="131"/>
  <c r="G2075" i="131" s="1"/>
  <c r="AK41" i="1"/>
  <c r="G2286" i="131"/>
  <c r="G2285" i="131" s="1"/>
  <c r="G1476" i="131"/>
  <c r="K1476" i="131" s="1"/>
  <c r="G1343" i="131"/>
  <c r="W2050" i="131"/>
  <c r="W434" i="131"/>
  <c r="G433" i="131"/>
  <c r="G432" i="131" s="1"/>
  <c r="W1026" i="131"/>
  <c r="G1025" i="131"/>
  <c r="G1991" i="131"/>
  <c r="G1417" i="131"/>
  <c r="G2092" i="131"/>
  <c r="W1611" i="131"/>
  <c r="G1486" i="131"/>
  <c r="P1487" i="131"/>
  <c r="P1489" i="131" s="1"/>
  <c r="Q1488" i="131" s="1"/>
  <c r="G1177" i="131"/>
  <c r="G1176" i="131" s="1"/>
  <c r="W1595" i="131"/>
  <c r="G1594" i="131"/>
  <c r="G367" i="131"/>
  <c r="T368" i="131"/>
  <c r="T1504" i="131"/>
  <c r="T1027" i="131"/>
  <c r="W1344" i="131"/>
  <c r="T434" i="131"/>
  <c r="F216" i="1"/>
  <c r="G1610" i="131"/>
  <c r="T1611" i="131"/>
  <c r="G961" i="131"/>
  <c r="W962" i="131"/>
  <c r="G2466" i="131"/>
  <c r="E97" i="121"/>
  <c r="G2332" i="131"/>
  <c r="G2079" i="131"/>
  <c r="G2078" i="131" s="1"/>
  <c r="H323" i="114" s="1"/>
  <c r="H322" i="114" s="1"/>
  <c r="H1318" i="131"/>
  <c r="H1312" i="131"/>
  <c r="G2308" i="131"/>
  <c r="C20" i="39"/>
  <c r="C19" i="39" s="1"/>
  <c r="L13" i="273"/>
  <c r="I160" i="114"/>
  <c r="H160" i="114"/>
  <c r="I304" i="1"/>
  <c r="G71" i="36"/>
  <c r="D20" i="39"/>
  <c r="D19" i="39"/>
  <c r="E87" i="121"/>
  <c r="N1686" i="131"/>
  <c r="G969" i="131"/>
  <c r="U75" i="131"/>
  <c r="U2385" i="131"/>
  <c r="V75" i="131"/>
  <c r="V2385" i="131" s="1"/>
  <c r="H1309" i="131"/>
  <c r="H1308" i="131" s="1"/>
  <c r="H1307" i="131" s="1"/>
  <c r="R75" i="131"/>
  <c r="R2385" i="131" s="1"/>
  <c r="S75" i="131"/>
  <c r="S2385" i="131" s="1"/>
  <c r="D57" i="1"/>
  <c r="D202" i="1"/>
  <c r="D30" i="1"/>
  <c r="F58" i="1"/>
  <c r="W942" i="131"/>
  <c r="G940" i="131"/>
  <c r="W814" i="131"/>
  <c r="W540" i="131"/>
  <c r="T942" i="131"/>
  <c r="T814" i="131"/>
  <c r="T540" i="131"/>
  <c r="W1020" i="131"/>
  <c r="L12" i="273"/>
  <c r="B14" i="273"/>
  <c r="L14" i="273" s="1"/>
  <c r="B26" i="273"/>
  <c r="D218" i="1"/>
  <c r="W1269" i="131"/>
  <c r="G1190" i="131"/>
  <c r="G1189" i="131" s="1"/>
  <c r="W1191" i="131"/>
  <c r="P2230" i="131"/>
  <c r="P1260" i="131"/>
  <c r="C22" i="273"/>
  <c r="F37" i="1"/>
  <c r="F36" i="1" s="1"/>
  <c r="AJ309" i="1"/>
  <c r="AK251" i="1"/>
  <c r="E30" i="1"/>
  <c r="AK119" i="1"/>
  <c r="D224" i="1"/>
  <c r="AK10" i="1"/>
  <c r="AK249" i="1"/>
  <c r="F92" i="1"/>
  <c r="F28" i="1"/>
  <c r="D39" i="1"/>
  <c r="I2177" i="131"/>
  <c r="I2176" i="131" s="1"/>
  <c r="I2175" i="131" s="1"/>
  <c r="I848" i="131"/>
  <c r="I847" i="131" s="1"/>
  <c r="R2359" i="131"/>
  <c r="I2191" i="131"/>
  <c r="I2190" i="131" s="1"/>
  <c r="I2079" i="131"/>
  <c r="I2078" i="131" s="1"/>
  <c r="I2293" i="131"/>
  <c r="I2292" i="131" s="1"/>
  <c r="J111" i="114" s="1"/>
  <c r="N2195" i="131"/>
  <c r="N2174" i="131" s="1"/>
  <c r="N2173" i="131" s="1"/>
  <c r="K1504" i="131"/>
  <c r="M1504" i="131" s="1"/>
  <c r="K1924" i="131"/>
  <c r="I1923" i="131"/>
  <c r="I2017" i="131"/>
  <c r="K2019" i="131"/>
  <c r="Q1487" i="131"/>
  <c r="I313" i="1"/>
  <c r="I307" i="1"/>
  <c r="M307" i="1"/>
  <c r="AK80" i="1"/>
  <c r="G2249" i="131"/>
  <c r="H288" i="114" s="1"/>
  <c r="E133" i="121"/>
  <c r="G2139" i="131"/>
  <c r="H199" i="114"/>
  <c r="H198" i="114" s="1"/>
  <c r="G1848" i="131"/>
  <c r="H229" i="114" s="1"/>
  <c r="H228" i="114" s="1"/>
  <c r="G1834" i="131"/>
  <c r="H221" i="114" s="1"/>
  <c r="H220" i="114" s="1"/>
  <c r="I2073" i="131"/>
  <c r="I2072" i="131" s="1"/>
  <c r="I2092" i="131"/>
  <c r="M1542" i="131"/>
  <c r="M446" i="131"/>
  <c r="M507" i="131"/>
  <c r="F94" i="1"/>
  <c r="E199" i="1"/>
  <c r="AJ165" i="1"/>
  <c r="AK166" i="1"/>
  <c r="AK58" i="1"/>
  <c r="E42" i="1"/>
  <c r="F42" i="1" s="1"/>
  <c r="F43" i="1"/>
  <c r="E69" i="1"/>
  <c r="F70" i="1"/>
  <c r="F69" i="1" s="1"/>
  <c r="F231" i="1"/>
  <c r="AK304" i="1"/>
  <c r="AJ105" i="1"/>
  <c r="E224" i="1"/>
  <c r="F225" i="1"/>
  <c r="E102" i="1"/>
  <c r="F102" i="1" s="1"/>
  <c r="F103" i="1"/>
  <c r="AJ85" i="1"/>
  <c r="D22" i="1"/>
  <c r="F23" i="1"/>
  <c r="E112" i="1"/>
  <c r="I62" i="114"/>
  <c r="I61" i="114" s="1"/>
  <c r="I952" i="131"/>
  <c r="J163" i="114" s="1"/>
  <c r="U2456" i="131"/>
  <c r="U2457" i="131" s="1"/>
  <c r="H1317" i="131"/>
  <c r="I90" i="131"/>
  <c r="I740" i="131"/>
  <c r="I739" i="131" s="1"/>
  <c r="I738" i="131" s="1"/>
  <c r="J17" i="114"/>
  <c r="I47" i="114"/>
  <c r="I46" i="114" s="1"/>
  <c r="I45" i="114" s="1"/>
  <c r="G1498" i="131"/>
  <c r="G2392" i="131" s="1"/>
  <c r="M250" i="131"/>
  <c r="K1743" i="131"/>
  <c r="M1743" i="131" s="1"/>
  <c r="I1734" i="131"/>
  <c r="I1733" i="131" s="1"/>
  <c r="H2111" i="131"/>
  <c r="I332" i="114" s="1"/>
  <c r="I331" i="114" s="1"/>
  <c r="W330" i="131"/>
  <c r="L1284" i="131"/>
  <c r="V677" i="131"/>
  <c r="N1248" i="131"/>
  <c r="N1247" i="131" s="1"/>
  <c r="N2409" i="131" s="1"/>
  <c r="H1814" i="131" l="1"/>
  <c r="H1813" i="131" s="1"/>
  <c r="N14" i="131"/>
  <c r="N13" i="131" s="1"/>
  <c r="T351" i="131"/>
  <c r="W374" i="131"/>
  <c r="L1651" i="131"/>
  <c r="T1795" i="131"/>
  <c r="X2016" i="131"/>
  <c r="I984" i="131"/>
  <c r="K984" i="131" s="1"/>
  <c r="M984" i="131" s="1"/>
  <c r="L1390" i="131"/>
  <c r="W1455" i="131"/>
  <c r="T1505" i="131"/>
  <c r="H677" i="131"/>
  <c r="K1098" i="131"/>
  <c r="K330" i="131"/>
  <c r="M330" i="131" s="1"/>
  <c r="K836" i="131"/>
  <c r="K1665" i="131"/>
  <c r="X1665" i="131" s="1"/>
  <c r="L2152" i="131"/>
  <c r="T405" i="131"/>
  <c r="X2001" i="131"/>
  <c r="G2052" i="131"/>
  <c r="H403" i="114"/>
  <c r="I1828" i="131"/>
  <c r="K1829" i="131"/>
  <c r="I1834" i="131"/>
  <c r="J221" i="114" s="1"/>
  <c r="J220" i="114" s="1"/>
  <c r="K1835" i="131"/>
  <c r="M1386" i="131"/>
  <c r="X1386" i="131"/>
  <c r="G2177" i="131"/>
  <c r="G2176" i="131" s="1"/>
  <c r="G2175" i="131" s="1"/>
  <c r="K2175" i="131" s="1"/>
  <c r="M2175" i="131" s="1"/>
  <c r="M2016" i="131"/>
  <c r="W405" i="131"/>
  <c r="G402" i="131"/>
  <c r="H252" i="114" s="1"/>
  <c r="X2335" i="131"/>
  <c r="X2165" i="131"/>
  <c r="X2101" i="131"/>
  <c r="X1803" i="131"/>
  <c r="X1078" i="131"/>
  <c r="X1071" i="131"/>
  <c r="X1027" i="131"/>
  <c r="X2223" i="131"/>
  <c r="X2209" i="131"/>
  <c r="X2201" i="131"/>
  <c r="K2269" i="131"/>
  <c r="X1997" i="131"/>
  <c r="L1983" i="131"/>
  <c r="X1868" i="131"/>
  <c r="H1858" i="131"/>
  <c r="X1811" i="131"/>
  <c r="H1774" i="131"/>
  <c r="X1761" i="131"/>
  <c r="W1675" i="131"/>
  <c r="T1455" i="131"/>
  <c r="X1367" i="131"/>
  <c r="L1125" i="131"/>
  <c r="X1091" i="131"/>
  <c r="X999" i="131"/>
  <c r="X575" i="131"/>
  <c r="X532" i="131"/>
  <c r="X530" i="131"/>
  <c r="X513" i="131"/>
  <c r="X462" i="131"/>
  <c r="X457" i="131"/>
  <c r="X1379" i="131"/>
  <c r="K1049" i="131"/>
  <c r="L1273" i="131"/>
  <c r="L1554" i="131"/>
  <c r="K1807" i="131"/>
  <c r="X2009" i="131"/>
  <c r="X1395" i="131"/>
  <c r="X1068" i="131"/>
  <c r="X1060" i="131"/>
  <c r="X921" i="131"/>
  <c r="X1742" i="131"/>
  <c r="X1400" i="131"/>
  <c r="X1369" i="131"/>
  <c r="G1234" i="131"/>
  <c r="G1233" i="131" s="1"/>
  <c r="G2407" i="131" s="1"/>
  <c r="C9" i="36" s="1"/>
  <c r="L9" i="36" s="1"/>
  <c r="K1077" i="131"/>
  <c r="M1077" i="131" s="1"/>
  <c r="X1011" i="131"/>
  <c r="X1005" i="131"/>
  <c r="L2143" i="131"/>
  <c r="H326" i="114"/>
  <c r="H325" i="114" s="1"/>
  <c r="H324" i="114" s="1"/>
  <c r="J2303" i="131"/>
  <c r="X942" i="131"/>
  <c r="L1318" i="131"/>
  <c r="W1991" i="131"/>
  <c r="X963" i="131"/>
  <c r="V2340" i="131"/>
  <c r="V2339" i="131" s="1"/>
  <c r="V2452" i="131" s="1"/>
  <c r="L2346" i="131"/>
  <c r="L2310" i="131"/>
  <c r="X2220" i="131"/>
  <c r="X2216" i="131"/>
  <c r="X2205" i="131"/>
  <c r="X2197" i="131"/>
  <c r="X2172" i="131"/>
  <c r="L2017" i="131"/>
  <c r="K2008" i="131"/>
  <c r="M2008" i="131" s="1"/>
  <c r="W2000" i="131"/>
  <c r="X1856" i="131"/>
  <c r="X1799" i="131"/>
  <c r="G1774" i="131"/>
  <c r="X1746" i="131"/>
  <c r="X1690" i="131"/>
  <c r="X1513" i="131"/>
  <c r="X1392" i="131"/>
  <c r="X1364" i="131"/>
  <c r="H1248" i="131"/>
  <c r="X1088" i="131"/>
  <c r="X751" i="131"/>
  <c r="X733" i="131"/>
  <c r="X587" i="131"/>
  <c r="X583" i="131"/>
  <c r="X554" i="131"/>
  <c r="X493" i="131"/>
  <c r="X394" i="131"/>
  <c r="K292" i="131"/>
  <c r="K254" i="131"/>
  <c r="M254" i="131" s="1"/>
  <c r="L1371" i="131"/>
  <c r="K1495" i="131"/>
  <c r="K539" i="131"/>
  <c r="M539" i="131" s="1"/>
  <c r="J1196" i="131"/>
  <c r="AK40" i="1"/>
  <c r="AJ39" i="1"/>
  <c r="AK39" i="1" s="1"/>
  <c r="AK23" i="1"/>
  <c r="F234" i="1"/>
  <c r="AK55" i="1"/>
  <c r="AK61" i="1"/>
  <c r="F64" i="1"/>
  <c r="AJ313" i="1"/>
  <c r="E237" i="1"/>
  <c r="E236" i="1" s="1"/>
  <c r="F22" i="1"/>
  <c r="AK106" i="1"/>
  <c r="AK109" i="1"/>
  <c r="AK28" i="1"/>
  <c r="F251" i="1"/>
  <c r="AK83" i="1"/>
  <c r="AK105" i="1"/>
  <c r="AK20" i="1"/>
  <c r="F106" i="1"/>
  <c r="AK77" i="1"/>
  <c r="AK238" i="1"/>
  <c r="F49" i="1"/>
  <c r="F54" i="1"/>
  <c r="D73" i="121"/>
  <c r="M12" i="273"/>
  <c r="K1804" i="131"/>
  <c r="L2316" i="131"/>
  <c r="J2268" i="131"/>
  <c r="J2267" i="131" s="1"/>
  <c r="J2266" i="131" s="1"/>
  <c r="J2265" i="131" s="1"/>
  <c r="J2319" i="131"/>
  <c r="J2327" i="131"/>
  <c r="J2326" i="131" s="1"/>
  <c r="J2325" i="131" s="1"/>
  <c r="J2324" i="131" s="1"/>
  <c r="F57" i="36" s="1"/>
  <c r="L608" i="131"/>
  <c r="J1416" i="131"/>
  <c r="I625" i="131"/>
  <c r="I624" i="131" s="1"/>
  <c r="I658" i="131"/>
  <c r="I651" i="131" s="1"/>
  <c r="K1943" i="131"/>
  <c r="I1774" i="131"/>
  <c r="R1516" i="131"/>
  <c r="R1515" i="131" s="1"/>
  <c r="J1774" i="131"/>
  <c r="G371" i="131"/>
  <c r="G2248" i="131"/>
  <c r="I307" i="114"/>
  <c r="K2184" i="131"/>
  <c r="M2184" i="131" s="1"/>
  <c r="K2140" i="131"/>
  <c r="L199" i="114" s="1"/>
  <c r="L198" i="114" s="1"/>
  <c r="J2081" i="131"/>
  <c r="I13" i="114"/>
  <c r="I12" i="114" s="1"/>
  <c r="I2139" i="131"/>
  <c r="K2139" i="131" s="1"/>
  <c r="K2128" i="131"/>
  <c r="K340" i="131"/>
  <c r="M340" i="131" s="1"/>
  <c r="K351" i="131"/>
  <c r="M351" i="131" s="1"/>
  <c r="T374" i="131"/>
  <c r="K405" i="131"/>
  <c r="M405" i="131" s="1"/>
  <c r="K574" i="131"/>
  <c r="M574" i="131" s="1"/>
  <c r="K586" i="131"/>
  <c r="M586" i="131" s="1"/>
  <c r="L1453" i="131"/>
  <c r="N1677" i="131"/>
  <c r="L824" i="131"/>
  <c r="K41" i="114"/>
  <c r="S435" i="131"/>
  <c r="J1234" i="131"/>
  <c r="J1311" i="131"/>
  <c r="J1342" i="131"/>
  <c r="J1359" i="131"/>
  <c r="J1354" i="131" s="1"/>
  <c r="J1353" i="131" s="1"/>
  <c r="J1348" i="131" s="1"/>
  <c r="J2400" i="131" s="1"/>
  <c r="R763" i="131"/>
  <c r="R762" i="131" s="1"/>
  <c r="H1196" i="131"/>
  <c r="T459" i="131"/>
  <c r="L140" i="131"/>
  <c r="G863" i="131"/>
  <c r="L2090" i="131"/>
  <c r="J14" i="131"/>
  <c r="J13" i="131" s="1"/>
  <c r="J2408" i="131" s="1"/>
  <c r="F10" i="36" s="1"/>
  <c r="K1986" i="131"/>
  <c r="I677" i="131"/>
  <c r="I749" i="131"/>
  <c r="I780" i="131"/>
  <c r="I1563" i="131"/>
  <c r="V2138" i="131"/>
  <c r="V1814" i="131"/>
  <c r="V1813" i="131" s="1"/>
  <c r="J90" i="114"/>
  <c r="T340" i="131"/>
  <c r="W351" i="131"/>
  <c r="W340" i="131"/>
  <c r="K367" i="131"/>
  <c r="M367" i="131" s="1"/>
  <c r="G1340" i="131"/>
  <c r="G1339" i="131" s="1"/>
  <c r="H304" i="114" s="1"/>
  <c r="K2202" i="131"/>
  <c r="M2202" i="131" s="1"/>
  <c r="K2178" i="131"/>
  <c r="M2178" i="131" s="1"/>
  <c r="W2166" i="131"/>
  <c r="H1563" i="131"/>
  <c r="H1562" i="131" s="1"/>
  <c r="G1196" i="131"/>
  <c r="H904" i="131"/>
  <c r="K578" i="131"/>
  <c r="M578" i="131" s="1"/>
  <c r="R212" i="131"/>
  <c r="S2071" i="131"/>
  <c r="S2397" i="131" s="1"/>
  <c r="S2138" i="131"/>
  <c r="J677" i="131"/>
  <c r="J904" i="131"/>
  <c r="I1196" i="131"/>
  <c r="I1234" i="131"/>
  <c r="J1563" i="131"/>
  <c r="J1562" i="131" s="1"/>
  <c r="J2448" i="131" s="1"/>
  <c r="F53" i="36" s="1"/>
  <c r="W1751" i="131"/>
  <c r="K1755" i="131"/>
  <c r="M1755" i="131" s="1"/>
  <c r="L2131" i="131"/>
  <c r="W1329" i="131"/>
  <c r="K374" i="131"/>
  <c r="M374" i="131" s="1"/>
  <c r="K2112" i="131"/>
  <c r="K237" i="131"/>
  <c r="M237" i="131" s="1"/>
  <c r="L1996" i="131"/>
  <c r="W1795" i="131"/>
  <c r="L1620" i="131"/>
  <c r="G1563" i="131"/>
  <c r="H1234" i="131"/>
  <c r="G904" i="131"/>
  <c r="K570" i="131"/>
  <c r="M570" i="131" s="1"/>
  <c r="T379" i="131"/>
  <c r="S212" i="131"/>
  <c r="I43" i="131"/>
  <c r="T43" i="131" s="1"/>
  <c r="I126" i="131"/>
  <c r="I863" i="131"/>
  <c r="I1048" i="131"/>
  <c r="J1248" i="131"/>
  <c r="J1247" i="131" s="1"/>
  <c r="J2409" i="131" s="1"/>
  <c r="F11" i="36" s="1"/>
  <c r="H344" i="114"/>
  <c r="I344" i="114"/>
  <c r="H1940" i="131"/>
  <c r="I359" i="114" s="1"/>
  <c r="I358" i="114" s="1"/>
  <c r="G1940" i="131"/>
  <c r="H359" i="114" s="1"/>
  <c r="H358" i="114" s="1"/>
  <c r="L1807" i="131"/>
  <c r="L1729" i="131"/>
  <c r="G1770" i="131"/>
  <c r="L1771" i="131"/>
  <c r="M292" i="114" s="1"/>
  <c r="M291" i="114" s="1"/>
  <c r="K1525" i="131"/>
  <c r="M1525" i="131" s="1"/>
  <c r="I1523" i="131"/>
  <c r="I2389" i="131" s="1"/>
  <c r="P148" i="114" s="1"/>
  <c r="L1297" i="131"/>
  <c r="I108" i="131"/>
  <c r="I2401" i="131" s="1"/>
  <c r="P387" i="114" s="1"/>
  <c r="K1554" i="131"/>
  <c r="M1554" i="131" s="1"/>
  <c r="I1553" i="131"/>
  <c r="L1417" i="131"/>
  <c r="H1416" i="131"/>
  <c r="K1498" i="131"/>
  <c r="K2392" i="131" s="1"/>
  <c r="G1416" i="131"/>
  <c r="I1498" i="131"/>
  <c r="M1276" i="131"/>
  <c r="K1273" i="131"/>
  <c r="M1273" i="131" s="1"/>
  <c r="I1248" i="131"/>
  <c r="I1034" i="131"/>
  <c r="W1034" i="131" s="1"/>
  <c r="K300" i="114"/>
  <c r="L1194" i="131"/>
  <c r="T320" i="131"/>
  <c r="T207" i="131"/>
  <c r="X416" i="131"/>
  <c r="X256" i="131"/>
  <c r="X253" i="131"/>
  <c r="X250" i="131"/>
  <c r="X248" i="131"/>
  <c r="X246" i="131"/>
  <c r="W795" i="131"/>
  <c r="I959" i="131"/>
  <c r="W1085" i="131"/>
  <c r="X1030" i="131"/>
  <c r="K1028" i="131"/>
  <c r="M1028" i="131" s="1"/>
  <c r="M994" i="131"/>
  <c r="K993" i="131"/>
  <c r="X1008" i="131"/>
  <c r="X1002" i="131"/>
  <c r="X933" i="131"/>
  <c r="X918" i="131"/>
  <c r="X707" i="131"/>
  <c r="X701" i="131"/>
  <c r="X699" i="131"/>
  <c r="X638" i="131"/>
  <c r="X602" i="131"/>
  <c r="I243" i="114"/>
  <c r="I242" i="114" s="1"/>
  <c r="X994" i="131"/>
  <c r="X915" i="131"/>
  <c r="X881" i="131"/>
  <c r="K778" i="131"/>
  <c r="M778" i="131" s="1"/>
  <c r="W760" i="131"/>
  <c r="W961" i="131"/>
  <c r="X949" i="131"/>
  <c r="X930" i="131"/>
  <c r="I904" i="131"/>
  <c r="K1321" i="131"/>
  <c r="K2380" i="131" s="1"/>
  <c r="K1551" i="131"/>
  <c r="K1954" i="131"/>
  <c r="T1722" i="131"/>
  <c r="W2100" i="131"/>
  <c r="X2100" i="131" s="1"/>
  <c r="I1441" i="131"/>
  <c r="I1440" i="131" s="1"/>
  <c r="I2456" i="131"/>
  <c r="I2457" i="131" s="1"/>
  <c r="L1932" i="131"/>
  <c r="K1849" i="131"/>
  <c r="H2240" i="131"/>
  <c r="H2227" i="131" s="1"/>
  <c r="H2226" i="131" s="1"/>
  <c r="K764" i="131"/>
  <c r="I2466" i="131"/>
  <c r="T237" i="131"/>
  <c r="W764" i="131"/>
  <c r="X2023" i="131"/>
  <c r="K1792" i="131"/>
  <c r="M1792" i="131" s="1"/>
  <c r="X1666" i="131"/>
  <c r="X1658" i="131"/>
  <c r="X1636" i="131"/>
  <c r="L1635" i="131"/>
  <c r="X1631" i="131"/>
  <c r="X1615" i="131"/>
  <c r="K1375" i="131"/>
  <c r="M1375" i="131" s="1"/>
  <c r="X1285" i="131"/>
  <c r="U67" i="131"/>
  <c r="U66" i="131" s="1"/>
  <c r="U65" i="131" s="1"/>
  <c r="G984" i="131"/>
  <c r="G983" i="131" s="1"/>
  <c r="G612" i="131"/>
  <c r="S1342" i="131"/>
  <c r="S1325" i="131" s="1"/>
  <c r="L1032" i="131"/>
  <c r="K2000" i="131"/>
  <c r="M2000" i="131" s="1"/>
  <c r="W1755" i="131"/>
  <c r="I130" i="114"/>
  <c r="I129" i="114" s="1"/>
  <c r="J57" i="114"/>
  <c r="J56" i="114" s="1"/>
  <c r="J55" i="114" s="1"/>
  <c r="X2276" i="131"/>
  <c r="V7" i="131"/>
  <c r="U2466" i="131"/>
  <c r="W237" i="131"/>
  <c r="X2281" i="131"/>
  <c r="X2272" i="131"/>
  <c r="T1867" i="131"/>
  <c r="X1679" i="131"/>
  <c r="X1676" i="131"/>
  <c r="X1643" i="131"/>
  <c r="X1604" i="131"/>
  <c r="X1575" i="131"/>
  <c r="X1546" i="131"/>
  <c r="X1458" i="131"/>
  <c r="K1403" i="131"/>
  <c r="M1403" i="131" s="1"/>
  <c r="L529" i="131"/>
  <c r="U427" i="131"/>
  <c r="G288" i="131"/>
  <c r="L988" i="131"/>
  <c r="H612" i="131"/>
  <c r="I85" i="114" s="1"/>
  <c r="I84" i="114" s="1"/>
  <c r="K1875" i="131"/>
  <c r="J402" i="131"/>
  <c r="K252" i="114" s="1"/>
  <c r="K251" i="114" s="1"/>
  <c r="J1586" i="131"/>
  <c r="J1585" i="131" s="1"/>
  <c r="J1584" i="131" s="1"/>
  <c r="I1710" i="131"/>
  <c r="I1704" i="131" s="1"/>
  <c r="I2413" i="131" s="1"/>
  <c r="E15" i="36" s="1"/>
  <c r="I1740" i="131"/>
  <c r="J54" i="114" s="1"/>
  <c r="J53" i="114" s="1"/>
  <c r="J52" i="114" s="1"/>
  <c r="I1864" i="131"/>
  <c r="I1872" i="131"/>
  <c r="I1871" i="131" s="1"/>
  <c r="I1870" i="131" s="1"/>
  <c r="L1031" i="131"/>
  <c r="I321" i="114"/>
  <c r="I320" i="114" s="1"/>
  <c r="W1330" i="131"/>
  <c r="K2118" i="131"/>
  <c r="R1717" i="131"/>
  <c r="L1826" i="131"/>
  <c r="T783" i="131"/>
  <c r="V2485" i="131"/>
  <c r="X1595" i="131"/>
  <c r="X2306" i="131"/>
  <c r="X2051" i="131"/>
  <c r="X2043" i="131"/>
  <c r="K1781" i="131"/>
  <c r="M1781" i="131" s="1"/>
  <c r="K1751" i="131"/>
  <c r="M1751" i="131" s="1"/>
  <c r="T1735" i="131"/>
  <c r="W1713" i="131"/>
  <c r="K1558" i="131"/>
  <c r="H1516" i="131"/>
  <c r="H1515" i="131" s="1"/>
  <c r="W1284" i="131"/>
  <c r="X1277" i="131"/>
  <c r="X1126" i="131"/>
  <c r="L1025" i="131"/>
  <c r="L910" i="131"/>
  <c r="L889" i="131"/>
  <c r="H631" i="131"/>
  <c r="I98" i="114" s="1"/>
  <c r="I97" i="114" s="1"/>
  <c r="L522" i="131"/>
  <c r="R2319" i="131"/>
  <c r="I14" i="131"/>
  <c r="I13" i="131" s="1"/>
  <c r="K1841" i="131"/>
  <c r="T1755" i="131"/>
  <c r="J238" i="131"/>
  <c r="I594" i="131"/>
  <c r="K594" i="131" s="1"/>
  <c r="M594" i="131" s="1"/>
  <c r="W774" i="131"/>
  <c r="K858" i="131"/>
  <c r="K998" i="131"/>
  <c r="M998" i="131" s="1"/>
  <c r="K766" i="131"/>
  <c r="M766" i="131" s="1"/>
  <c r="X709" i="131"/>
  <c r="J87" i="114"/>
  <c r="J86" i="114" s="1"/>
  <c r="T808" i="131"/>
  <c r="I443" i="131"/>
  <c r="X737" i="131"/>
  <c r="X704" i="131"/>
  <c r="X633" i="131"/>
  <c r="K463" i="131"/>
  <c r="M463" i="131" s="1"/>
  <c r="T2200" i="131"/>
  <c r="K1983" i="131"/>
  <c r="M1983" i="131" s="1"/>
  <c r="X595" i="131"/>
  <c r="H329" i="131"/>
  <c r="H238" i="131"/>
  <c r="L56" i="131"/>
  <c r="L33" i="131"/>
  <c r="H14" i="131"/>
  <c r="H13" i="131" s="1"/>
  <c r="L1315" i="131"/>
  <c r="H2106" i="131"/>
  <c r="I330" i="114" s="1"/>
  <c r="I329" i="114" s="1"/>
  <c r="K30" i="131"/>
  <c r="M30" i="131" s="1"/>
  <c r="J329" i="131"/>
  <c r="U2389" i="131"/>
  <c r="G435" i="131"/>
  <c r="H270" i="114" s="1"/>
  <c r="H269" i="114" s="1"/>
  <c r="K2198" i="131"/>
  <c r="M2206" i="131"/>
  <c r="T547" i="131"/>
  <c r="L1772" i="131"/>
  <c r="T2000" i="131"/>
  <c r="K2012" i="131"/>
  <c r="M2012" i="131" s="1"/>
  <c r="T524" i="131"/>
  <c r="W2198" i="131"/>
  <c r="W1735" i="131"/>
  <c r="K2235" i="131"/>
  <c r="M2235" i="131" s="1"/>
  <c r="W1341" i="131"/>
  <c r="X1341" i="131" s="1"/>
  <c r="T1713" i="131"/>
  <c r="I18" i="114"/>
  <c r="H2052" i="131"/>
  <c r="H2081" i="131"/>
  <c r="H2071" i="131" s="1"/>
  <c r="H2397" i="131" s="1"/>
  <c r="W459" i="131"/>
  <c r="W839" i="131"/>
  <c r="N2389" i="131"/>
  <c r="K1762" i="131"/>
  <c r="M1762" i="131" s="1"/>
  <c r="X1378" i="131"/>
  <c r="T595" i="131"/>
  <c r="G329" i="131"/>
  <c r="W329" i="131" s="1"/>
  <c r="H43" i="131"/>
  <c r="G14" i="131"/>
  <c r="L2320" i="131"/>
  <c r="K572" i="131"/>
  <c r="S227" i="131"/>
  <c r="R376" i="131"/>
  <c r="R491" i="131"/>
  <c r="R490" i="131" s="1"/>
  <c r="R720" i="131"/>
  <c r="R2213" i="131"/>
  <c r="R2212" i="131" s="1"/>
  <c r="R2211" i="131" s="1"/>
  <c r="S2268" i="131"/>
  <c r="S2267" i="131" s="1"/>
  <c r="S2266" i="131" s="1"/>
  <c r="J43" i="131"/>
  <c r="J42" i="131" s="1"/>
  <c r="J126" i="131"/>
  <c r="J288" i="131"/>
  <c r="I329" i="131"/>
  <c r="K591" i="131"/>
  <c r="M591" i="131" s="1"/>
  <c r="I612" i="131"/>
  <c r="I1533" i="131"/>
  <c r="I1532" i="131" s="1"/>
  <c r="I1531" i="131" s="1"/>
  <c r="I2445" i="131" s="1"/>
  <c r="E49" i="36" s="1"/>
  <c r="K2074" i="131"/>
  <c r="G126" i="131"/>
  <c r="W524" i="131"/>
  <c r="X524" i="131" s="1"/>
  <c r="N2384" i="131"/>
  <c r="T2100" i="131"/>
  <c r="K382" i="114"/>
  <c r="M382" i="114" s="1"/>
  <c r="H528" i="131"/>
  <c r="H527" i="131" s="1"/>
  <c r="L527" i="131" s="1"/>
  <c r="W2012" i="131"/>
  <c r="K547" i="131"/>
  <c r="X547" i="131" s="1"/>
  <c r="W2206" i="131"/>
  <c r="X2206" i="131" s="1"/>
  <c r="T1760" i="131"/>
  <c r="K90" i="131"/>
  <c r="L68" i="114" s="1"/>
  <c r="L67" i="114" s="1"/>
  <c r="T574" i="131"/>
  <c r="W2040" i="131"/>
  <c r="K2309" i="131"/>
  <c r="M2309" i="131" s="1"/>
  <c r="K2243" i="131"/>
  <c r="M2243" i="131" s="1"/>
  <c r="K459" i="131"/>
  <c r="M459" i="131" s="1"/>
  <c r="W2309" i="131"/>
  <c r="N1985" i="131"/>
  <c r="K1729" i="131"/>
  <c r="M1729" i="131" s="1"/>
  <c r="V427" i="131"/>
  <c r="U288" i="131"/>
  <c r="U287" i="131" s="1"/>
  <c r="U286" i="131" s="1"/>
  <c r="H288" i="131"/>
  <c r="H126" i="131"/>
  <c r="G43" i="131"/>
  <c r="L47" i="131"/>
  <c r="S631" i="131"/>
  <c r="G238" i="131"/>
  <c r="W273" i="131"/>
  <c r="T330" i="131"/>
  <c r="L543" i="131"/>
  <c r="J612" i="131"/>
  <c r="K1229" i="131"/>
  <c r="M1229" i="131" s="1"/>
  <c r="T1365" i="131"/>
  <c r="I1586" i="131"/>
  <c r="I1585" i="131" s="1"/>
  <c r="I1584" i="131" s="1"/>
  <c r="K1624" i="131"/>
  <c r="M1624" i="131" s="1"/>
  <c r="G552" i="131"/>
  <c r="G551" i="131" s="1"/>
  <c r="J399" i="114"/>
  <c r="I471" i="131"/>
  <c r="I470" i="131" s="1"/>
  <c r="I469" i="131" s="1"/>
  <c r="K464" i="131"/>
  <c r="M464" i="131" s="1"/>
  <c r="T670" i="131"/>
  <c r="K509" i="131"/>
  <c r="M509" i="131" s="1"/>
  <c r="T503" i="131"/>
  <c r="K473" i="131"/>
  <c r="K231" i="131"/>
  <c r="M231" i="131" s="1"/>
  <c r="W217" i="131"/>
  <c r="K453" i="131"/>
  <c r="M453" i="131" s="1"/>
  <c r="X731" i="131"/>
  <c r="K637" i="131"/>
  <c r="M637" i="131" s="1"/>
  <c r="K515" i="131"/>
  <c r="M515" i="131" s="1"/>
  <c r="M684" i="131"/>
  <c r="K682" i="131"/>
  <c r="M682" i="131" s="1"/>
  <c r="T515" i="131"/>
  <c r="K553" i="131"/>
  <c r="L87" i="114" s="1"/>
  <c r="L86" i="114" s="1"/>
  <c r="K393" i="131"/>
  <c r="M393" i="131" s="1"/>
  <c r="W637" i="131"/>
  <c r="G514" i="131"/>
  <c r="W514" i="131" s="1"/>
  <c r="K670" i="131"/>
  <c r="M670" i="131" s="1"/>
  <c r="G472" i="131"/>
  <c r="T472" i="131" s="1"/>
  <c r="X585" i="131"/>
  <c r="L160" i="114"/>
  <c r="W553" i="131"/>
  <c r="W515" i="131"/>
  <c r="L450" i="131"/>
  <c r="X465" i="131"/>
  <c r="T553" i="131"/>
  <c r="W393" i="131"/>
  <c r="X21" i="131"/>
  <c r="W591" i="131"/>
  <c r="W232" i="131"/>
  <c r="R278" i="131"/>
  <c r="I288" i="131"/>
  <c r="J278" i="114" s="1"/>
  <c r="J277" i="114" s="1"/>
  <c r="J276" i="114" s="1"/>
  <c r="I238" i="131"/>
  <c r="X261" i="131"/>
  <c r="W77" i="131"/>
  <c r="M160" i="114"/>
  <c r="F308" i="1"/>
  <c r="E310" i="1"/>
  <c r="M310" i="1" s="1"/>
  <c r="E312" i="1"/>
  <c r="D310" i="1"/>
  <c r="F309" i="1"/>
  <c r="F307" i="1"/>
  <c r="E305" i="1"/>
  <c r="D309" i="1"/>
  <c r="F313" i="1"/>
  <c r="E309" i="1"/>
  <c r="M309" i="1" s="1"/>
  <c r="E308" i="1"/>
  <c r="M308" i="1" s="1"/>
  <c r="F279" i="1"/>
  <c r="F278" i="1" s="1"/>
  <c r="F274" i="1" s="1"/>
  <c r="F273" i="1" s="1"/>
  <c r="F256" i="1"/>
  <c r="F267" i="1"/>
  <c r="AK273" i="1"/>
  <c r="F197" i="1"/>
  <c r="AK264" i="1"/>
  <c r="AK286" i="1"/>
  <c r="AK224" i="1"/>
  <c r="E77" i="1"/>
  <c r="AK218" i="1"/>
  <c r="I308" i="1"/>
  <c r="F12" i="1"/>
  <c r="W444" i="131"/>
  <c r="G443" i="131"/>
  <c r="G2130" i="131"/>
  <c r="H342" i="114" s="1"/>
  <c r="H341" i="114" s="1"/>
  <c r="K2131" i="131"/>
  <c r="W367" i="131"/>
  <c r="T367" i="131"/>
  <c r="T1025" i="131"/>
  <c r="K1025" i="131"/>
  <c r="M1025" i="131" s="1"/>
  <c r="H2181" i="131"/>
  <c r="L2181" i="131" s="1"/>
  <c r="L2182" i="131"/>
  <c r="T2031" i="131"/>
  <c r="W2031" i="131"/>
  <c r="X2031" i="131" s="1"/>
  <c r="W2008" i="131"/>
  <c r="T2008" i="131"/>
  <c r="G1734" i="131"/>
  <c r="G1733" i="131" s="1"/>
  <c r="G1732" i="131" s="1"/>
  <c r="G1731" i="131" s="1"/>
  <c r="G2459" i="131" s="1"/>
  <c r="K1735" i="131"/>
  <c r="M1735" i="131" s="1"/>
  <c r="W1601" i="131"/>
  <c r="G1492" i="131"/>
  <c r="G1491" i="131" s="1"/>
  <c r="G1490" i="131" s="1"/>
  <c r="W670" i="131"/>
  <c r="G669" i="131"/>
  <c r="W669" i="131" s="1"/>
  <c r="G642" i="131"/>
  <c r="K642" i="131" s="1"/>
  <c r="M642" i="131" s="1"/>
  <c r="K643" i="131"/>
  <c r="M643" i="131" s="1"/>
  <c r="K600" i="131"/>
  <c r="M600" i="131" s="1"/>
  <c r="W600" i="131"/>
  <c r="T600" i="131"/>
  <c r="K582" i="131"/>
  <c r="M582" i="131" s="1"/>
  <c r="T582" i="131"/>
  <c r="I87" i="114"/>
  <c r="I86" i="114" s="1"/>
  <c r="H552" i="131"/>
  <c r="H551" i="131" s="1"/>
  <c r="T543" i="131"/>
  <c r="K543" i="131"/>
  <c r="M543" i="131" s="1"/>
  <c r="T520" i="131"/>
  <c r="K520" i="131"/>
  <c r="M520" i="131" s="1"/>
  <c r="G508" i="131"/>
  <c r="W509" i="131"/>
  <c r="G502" i="131"/>
  <c r="K502" i="131" s="1"/>
  <c r="M502" i="131" s="1"/>
  <c r="K503" i="131"/>
  <c r="M503" i="131" s="1"/>
  <c r="K480" i="131"/>
  <c r="M480" i="131" s="1"/>
  <c r="W480" i="131"/>
  <c r="T473" i="131"/>
  <c r="W473" i="131"/>
  <c r="W436" i="131"/>
  <c r="X436" i="131" s="1"/>
  <c r="T436" i="131"/>
  <c r="I245" i="114"/>
  <c r="I244" i="114" s="1"/>
  <c r="K232" i="131"/>
  <c r="M232" i="131" s="1"/>
  <c r="T232" i="131"/>
  <c r="G216" i="131"/>
  <c r="K217" i="131"/>
  <c r="M217" i="131" s="1"/>
  <c r="L162" i="131"/>
  <c r="V2456" i="131"/>
  <c r="V2457" i="131" s="1"/>
  <c r="G206" i="131"/>
  <c r="G205" i="131" s="1"/>
  <c r="K211" i="114"/>
  <c r="K210" i="114" s="1"/>
  <c r="H275" i="114"/>
  <c r="L275" i="114" s="1"/>
  <c r="K445" i="131"/>
  <c r="M445" i="131" s="1"/>
  <c r="U2227" i="131"/>
  <c r="U2226" i="131" s="1"/>
  <c r="U2225" i="131" s="1"/>
  <c r="U2224" i="131" s="1"/>
  <c r="H283" i="114"/>
  <c r="G1903" i="131"/>
  <c r="H1509" i="131"/>
  <c r="H1508" i="131" s="1"/>
  <c r="L1510" i="131"/>
  <c r="H66" i="131"/>
  <c r="L66" i="131" s="1"/>
  <c r="L67" i="131"/>
  <c r="K51" i="131"/>
  <c r="L110" i="131"/>
  <c r="K207" i="131"/>
  <c r="M207" i="131" s="1"/>
  <c r="K444" i="131"/>
  <c r="M444" i="131" s="1"/>
  <c r="T208" i="131"/>
  <c r="AK292" i="1"/>
  <c r="AK60" i="1"/>
  <c r="I42" i="131"/>
  <c r="K59" i="131"/>
  <c r="K361" i="114"/>
  <c r="K360" i="114" s="1"/>
  <c r="R2327" i="131"/>
  <c r="R2326" i="131" s="1"/>
  <c r="R2325" i="131" s="1"/>
  <c r="R2324" i="131" s="1"/>
  <c r="R2451" i="131" s="1"/>
  <c r="I1814" i="131"/>
  <c r="I1813" i="131" s="1"/>
  <c r="K1813" i="131" s="1"/>
  <c r="M1813" i="131" s="1"/>
  <c r="I2025" i="131"/>
  <c r="I2024" i="131" s="1"/>
  <c r="T30" i="131"/>
  <c r="L137" i="131"/>
  <c r="L152" i="131"/>
  <c r="L197" i="131"/>
  <c r="L340" i="131"/>
  <c r="L436" i="131"/>
  <c r="L453" i="131"/>
  <c r="L459" i="131"/>
  <c r="L480" i="131"/>
  <c r="L524" i="131"/>
  <c r="L547" i="131"/>
  <c r="L1044" i="131"/>
  <c r="L1049" i="131"/>
  <c r="K1155" i="131"/>
  <c r="K1166" i="131"/>
  <c r="W1203" i="131"/>
  <c r="K1212" i="131"/>
  <c r="M1212" i="131" s="1"/>
  <c r="K1216" i="131"/>
  <c r="M1216" i="131" s="1"/>
  <c r="W1229" i="131"/>
  <c r="K1252" i="131"/>
  <c r="K1270" i="131"/>
  <c r="K1280" i="131"/>
  <c r="M1280" i="131" s="1"/>
  <c r="K1365" i="131"/>
  <c r="K1373" i="131"/>
  <c r="T1388" i="131"/>
  <c r="K1405" i="131"/>
  <c r="M1405" i="131" s="1"/>
  <c r="L1466" i="131"/>
  <c r="L1495" i="131"/>
  <c r="L1517" i="131"/>
  <c r="W1625" i="131"/>
  <c r="L1755" i="131"/>
  <c r="L1787" i="131"/>
  <c r="L1792" i="131"/>
  <c r="L1815" i="131"/>
  <c r="N1563" i="131"/>
  <c r="V749" i="131"/>
  <c r="G749" i="131"/>
  <c r="K749" i="131" s="1"/>
  <c r="M749" i="131" s="1"/>
  <c r="R1563" i="131"/>
  <c r="R1562" i="131" s="1"/>
  <c r="R1609" i="131"/>
  <c r="R1608" i="131" s="1"/>
  <c r="R1607" i="131" s="1"/>
  <c r="S2213" i="131"/>
  <c r="S2212" i="131" s="1"/>
  <c r="S2211" i="131" s="1"/>
  <c r="T1758" i="131"/>
  <c r="I1955" i="131"/>
  <c r="J365" i="114" s="1"/>
  <c r="J364" i="114" s="1"/>
  <c r="G2213" i="131"/>
  <c r="G2212" i="131" s="1"/>
  <c r="G2211" i="131" s="1"/>
  <c r="H1629" i="131"/>
  <c r="H1628" i="131" s="1"/>
  <c r="H1627" i="131" s="1"/>
  <c r="V631" i="131"/>
  <c r="V624" i="131" s="1"/>
  <c r="S427" i="131"/>
  <c r="R435" i="131"/>
  <c r="R501" i="131"/>
  <c r="H435" i="131"/>
  <c r="I270" i="114" s="1"/>
  <c r="I269" i="114" s="1"/>
  <c r="I259" i="114"/>
  <c r="I258" i="114" s="1"/>
  <c r="H97" i="131"/>
  <c r="I72" i="114" s="1"/>
  <c r="I71" i="114" s="1"/>
  <c r="L98" i="131"/>
  <c r="J182" i="131"/>
  <c r="J181" i="131" s="1"/>
  <c r="J2391" i="131" s="1"/>
  <c r="L183" i="131"/>
  <c r="J788" i="131"/>
  <c r="J787" i="131" s="1"/>
  <c r="L787" i="131" s="1"/>
  <c r="L789" i="131"/>
  <c r="J185" i="114"/>
  <c r="J184" i="114" s="1"/>
  <c r="J1524" i="131"/>
  <c r="L1525" i="131"/>
  <c r="I1279" i="131"/>
  <c r="I1278" i="131" s="1"/>
  <c r="I2410" i="131" s="1"/>
  <c r="E12" i="36" s="1"/>
  <c r="T539" i="131"/>
  <c r="L503" i="131"/>
  <c r="L320" i="131"/>
  <c r="L2193" i="131"/>
  <c r="K87" i="114"/>
  <c r="K86" i="114" s="1"/>
  <c r="K1646" i="131"/>
  <c r="M1646" i="131" s="1"/>
  <c r="K77" i="131"/>
  <c r="K76" i="131" s="1"/>
  <c r="L60" i="114" s="1"/>
  <c r="L59" i="114" s="1"/>
  <c r="R2195" i="131"/>
  <c r="G952" i="131"/>
  <c r="H163" i="114" s="1"/>
  <c r="H162" i="114" s="1"/>
  <c r="K953" i="131"/>
  <c r="J472" i="131"/>
  <c r="L472" i="131" s="1"/>
  <c r="L473" i="131"/>
  <c r="K1354" i="131"/>
  <c r="I1353" i="131"/>
  <c r="K1353" i="131" s="1"/>
  <c r="W539" i="131"/>
  <c r="X539" i="131" s="1"/>
  <c r="L2317" i="131"/>
  <c r="L515" i="131"/>
  <c r="L393" i="131"/>
  <c r="L191" i="131"/>
  <c r="J196" i="131"/>
  <c r="L196" i="131" s="1"/>
  <c r="V2180" i="131"/>
  <c r="G2039" i="131"/>
  <c r="H379" i="114" s="1"/>
  <c r="H378" i="114" s="1"/>
  <c r="W1743" i="131"/>
  <c r="X1743" i="131" s="1"/>
  <c r="T1743" i="131"/>
  <c r="W1722" i="131"/>
  <c r="X1722" i="131" s="1"/>
  <c r="G1721" i="131"/>
  <c r="H57" i="114" s="1"/>
  <c r="H56" i="114" s="1"/>
  <c r="H55" i="114" s="1"/>
  <c r="H253" i="114"/>
  <c r="G1412" i="131"/>
  <c r="G1411" i="131" s="1"/>
  <c r="W1280" i="131"/>
  <c r="K919" i="131"/>
  <c r="M919" i="131" s="1"/>
  <c r="T919" i="131"/>
  <c r="W891" i="131"/>
  <c r="K891" i="131"/>
  <c r="M891" i="131" s="1"/>
  <c r="W887" i="131"/>
  <c r="X887" i="131" s="1"/>
  <c r="T887" i="131"/>
  <c r="T868" i="131"/>
  <c r="K868" i="131"/>
  <c r="M868" i="131" s="1"/>
  <c r="W868" i="131"/>
  <c r="G807" i="131"/>
  <c r="G806" i="131" s="1"/>
  <c r="K808" i="131"/>
  <c r="M808" i="131" s="1"/>
  <c r="W808" i="131"/>
  <c r="G769" i="131"/>
  <c r="G768" i="131" s="1"/>
  <c r="W763" i="131"/>
  <c r="G762" i="131"/>
  <c r="H89" i="114" s="1"/>
  <c r="T578" i="131"/>
  <c r="W578" i="131"/>
  <c r="I28" i="114"/>
  <c r="J116" i="131"/>
  <c r="L117" i="131"/>
  <c r="J552" i="131"/>
  <c r="J551" i="131" s="1"/>
  <c r="L553" i="131"/>
  <c r="M87" i="114" s="1"/>
  <c r="M86" i="114" s="1"/>
  <c r="K1137" i="131"/>
  <c r="M1137" i="131" s="1"/>
  <c r="I1413" i="131"/>
  <c r="K1414" i="131"/>
  <c r="M1414" i="131" s="1"/>
  <c r="I1644" i="131"/>
  <c r="K1644" i="131" s="1"/>
  <c r="M1644" i="131" s="1"/>
  <c r="K1645" i="131"/>
  <c r="M1645" i="131" s="1"/>
  <c r="K1040" i="131"/>
  <c r="L514" i="131"/>
  <c r="K1625" i="131"/>
  <c r="M1625" i="131" s="1"/>
  <c r="J452" i="131"/>
  <c r="L452" i="131" s="1"/>
  <c r="H207" i="114"/>
  <c r="H206" i="114" s="1"/>
  <c r="H1641" i="131"/>
  <c r="H1640" i="131" s="1"/>
  <c r="L1640" i="131" s="1"/>
  <c r="L1642" i="131"/>
  <c r="L1476" i="131"/>
  <c r="H1473" i="131"/>
  <c r="H1472" i="131" s="1"/>
  <c r="L411" i="131"/>
  <c r="H410" i="131"/>
  <c r="L410" i="131" s="1"/>
  <c r="G399" i="131"/>
  <c r="H250" i="114" s="1"/>
  <c r="H249" i="114" s="1"/>
  <c r="K400" i="131"/>
  <c r="M400" i="131" s="1"/>
  <c r="G386" i="131"/>
  <c r="K386" i="131" s="1"/>
  <c r="W387" i="131"/>
  <c r="K379" i="131"/>
  <c r="M379" i="131" s="1"/>
  <c r="W379" i="131"/>
  <c r="W260" i="131"/>
  <c r="K260" i="131"/>
  <c r="M260" i="131" s="1"/>
  <c r="T260" i="131"/>
  <c r="L216" i="131"/>
  <c r="L147" i="131"/>
  <c r="W84" i="131"/>
  <c r="W30" i="131"/>
  <c r="G1048" i="131"/>
  <c r="W588" i="131"/>
  <c r="K770" i="131"/>
  <c r="M770" i="131" s="1"/>
  <c r="K774" i="131"/>
  <c r="M774" i="131" s="1"/>
  <c r="W836" i="131"/>
  <c r="T444" i="131"/>
  <c r="W1365" i="131"/>
  <c r="K1346" i="131"/>
  <c r="M1346" i="131" s="1"/>
  <c r="T1286" i="131"/>
  <c r="L1077" i="131"/>
  <c r="L1067" i="131"/>
  <c r="N376" i="131"/>
  <c r="G1163" i="131"/>
  <c r="W1783" i="131"/>
  <c r="S219" i="131"/>
  <c r="K1823" i="131"/>
  <c r="M1823" i="131" s="1"/>
  <c r="H2163" i="131"/>
  <c r="I209" i="114"/>
  <c r="I208" i="114" s="1"/>
  <c r="N1710" i="131"/>
  <c r="N1704" i="131" s="1"/>
  <c r="N2413" i="131" s="1"/>
  <c r="G1609" i="131"/>
  <c r="G1608" i="131" s="1"/>
  <c r="G1607" i="131" s="1"/>
  <c r="H1586" i="131"/>
  <c r="L1505" i="131"/>
  <c r="L1459" i="131"/>
  <c r="W1216" i="131"/>
  <c r="K1203" i="131"/>
  <c r="K1122" i="131"/>
  <c r="M1122" i="131" s="1"/>
  <c r="W1080" i="131"/>
  <c r="K830" i="131"/>
  <c r="M830" i="131" s="1"/>
  <c r="U2370" i="131"/>
  <c r="H769" i="131"/>
  <c r="H768" i="131" s="1"/>
  <c r="H758" i="131" s="1"/>
  <c r="U696" i="131"/>
  <c r="U695" i="131" s="1"/>
  <c r="U690" i="131" s="1"/>
  <c r="G1872" i="131"/>
  <c r="M1760" i="131"/>
  <c r="M783" i="131"/>
  <c r="H2312" i="131"/>
  <c r="L2069" i="131"/>
  <c r="L1480" i="131"/>
  <c r="G636" i="131"/>
  <c r="W636" i="131" s="1"/>
  <c r="W873" i="131"/>
  <c r="X873" i="131" s="1"/>
  <c r="T839" i="131"/>
  <c r="T51" i="131"/>
  <c r="L267" i="131"/>
  <c r="L520" i="131"/>
  <c r="G1066" i="131"/>
  <c r="G1065" i="131" s="1"/>
  <c r="G1064" i="131" s="1"/>
  <c r="G1063" i="131" s="1"/>
  <c r="G848" i="131"/>
  <c r="G847" i="131" s="1"/>
  <c r="K847" i="131" s="1"/>
  <c r="M847" i="131" s="1"/>
  <c r="K849" i="131"/>
  <c r="M849" i="131" s="1"/>
  <c r="K2185" i="131"/>
  <c r="M2185" i="131" s="1"/>
  <c r="K789" i="131"/>
  <c r="M789" i="131" s="1"/>
  <c r="K2079" i="131"/>
  <c r="L2286" i="131"/>
  <c r="T778" i="131"/>
  <c r="I134" i="114"/>
  <c r="I133" i="114" s="1"/>
  <c r="L1479" i="131"/>
  <c r="I37" i="114"/>
  <c r="L770" i="131"/>
  <c r="T1080" i="131"/>
  <c r="K1848" i="131"/>
  <c r="L229" i="114" s="1"/>
  <c r="L228" i="114" s="1"/>
  <c r="K818" i="131"/>
  <c r="X818" i="131" s="1"/>
  <c r="T1216" i="131"/>
  <c r="T1203" i="131"/>
  <c r="W632" i="131"/>
  <c r="W1760" i="131"/>
  <c r="X1760" i="131" s="1"/>
  <c r="G777" i="131"/>
  <c r="K777" i="131" s="1"/>
  <c r="W849" i="131"/>
  <c r="W752" i="131"/>
  <c r="V517" i="131"/>
  <c r="I394" i="114"/>
  <c r="I393" i="114" s="1"/>
  <c r="L1291" i="131"/>
  <c r="W778" i="131"/>
  <c r="L1296" i="131"/>
  <c r="L1478" i="131"/>
  <c r="K632" i="131"/>
  <c r="M632" i="131" s="1"/>
  <c r="L1308" i="131"/>
  <c r="J68" i="114"/>
  <c r="J67" i="114" s="1"/>
  <c r="I15" i="114"/>
  <c r="I14" i="114" s="1"/>
  <c r="L1337" i="131"/>
  <c r="L2057" i="131"/>
  <c r="W783" i="131"/>
  <c r="X783" i="131" s="1"/>
  <c r="K2301" i="131"/>
  <c r="M2301" i="131" s="1"/>
  <c r="N1562" i="131"/>
  <c r="N2448" i="131" s="1"/>
  <c r="V1076" i="131"/>
  <c r="V1075" i="131" s="1"/>
  <c r="V1074" i="131" s="1"/>
  <c r="V1073" i="131" s="1"/>
  <c r="U769" i="131"/>
  <c r="U768" i="131" s="1"/>
  <c r="U758" i="131" s="1"/>
  <c r="W586" i="131"/>
  <c r="T586" i="131"/>
  <c r="L486" i="131"/>
  <c r="K1257" i="131"/>
  <c r="L1823" i="131"/>
  <c r="H1872" i="131"/>
  <c r="H1871" i="131" s="1"/>
  <c r="H1870" i="131" s="1"/>
  <c r="R776" i="131"/>
  <c r="K1382" i="131"/>
  <c r="K1161" i="131"/>
  <c r="T576" i="131"/>
  <c r="K598" i="131"/>
  <c r="M598" i="131" s="1"/>
  <c r="T830" i="131"/>
  <c r="I886" i="131"/>
  <c r="K1004" i="131"/>
  <c r="M1004" i="131" s="1"/>
  <c r="K1010" i="131"/>
  <c r="M1010" i="131" s="1"/>
  <c r="W1025" i="131"/>
  <c r="K1080" i="131"/>
  <c r="M1080" i="131" s="1"/>
  <c r="J1306" i="131"/>
  <c r="L1326" i="131"/>
  <c r="K1453" i="131"/>
  <c r="M1453" i="131" s="1"/>
  <c r="K1457" i="131"/>
  <c r="M1457" i="131" s="1"/>
  <c r="K1469" i="131"/>
  <c r="K1486" i="131"/>
  <c r="J1502" i="131"/>
  <c r="K1519" i="131"/>
  <c r="M1519" i="131" s="1"/>
  <c r="K1543" i="131"/>
  <c r="M1543" i="131" s="1"/>
  <c r="K1547" i="131"/>
  <c r="L1663" i="131"/>
  <c r="T1741" i="131"/>
  <c r="K1745" i="131"/>
  <c r="M1745" i="131" s="1"/>
  <c r="W1749" i="131"/>
  <c r="K1783" i="131"/>
  <c r="M1783" i="131" s="1"/>
  <c r="W1807" i="131"/>
  <c r="L2004" i="131"/>
  <c r="T2033" i="131"/>
  <c r="T2096" i="131"/>
  <c r="I2120" i="131"/>
  <c r="J338" i="114" s="1"/>
  <c r="J337" i="114" s="1"/>
  <c r="K2200" i="131"/>
  <c r="M2200" i="131" s="1"/>
  <c r="W2208" i="131"/>
  <c r="K2237" i="131"/>
  <c r="L2279" i="131"/>
  <c r="L2353" i="131"/>
  <c r="G1955" i="131"/>
  <c r="H365" i="114" s="1"/>
  <c r="H364" i="114" s="1"/>
  <c r="K2271" i="131"/>
  <c r="M2271" i="131" s="1"/>
  <c r="L1747" i="131"/>
  <c r="T1587" i="131"/>
  <c r="U1076" i="131"/>
  <c r="U1075" i="131" s="1"/>
  <c r="U1074" i="131" s="1"/>
  <c r="U1073" i="131" s="1"/>
  <c r="L827" i="131"/>
  <c r="U749" i="131"/>
  <c r="U748" i="131" s="1"/>
  <c r="U227" i="131"/>
  <c r="X70" i="131"/>
  <c r="X54" i="131"/>
  <c r="X52" i="131"/>
  <c r="X35" i="131"/>
  <c r="K1394" i="131"/>
  <c r="M1394" i="131" s="1"/>
  <c r="L305" i="131"/>
  <c r="K1149" i="131"/>
  <c r="R43" i="131"/>
  <c r="R42" i="131" s="1"/>
  <c r="R126" i="131"/>
  <c r="R201" i="131"/>
  <c r="R200" i="131" s="1"/>
  <c r="R199" i="131" s="1"/>
  <c r="R227" i="131"/>
  <c r="R402" i="131"/>
  <c r="R395" i="131" s="1"/>
  <c r="R427" i="131"/>
  <c r="S477" i="131"/>
  <c r="S476" i="131" s="1"/>
  <c r="S475" i="131" s="1"/>
  <c r="S501" i="131"/>
  <c r="S517" i="131"/>
  <c r="S555" i="131"/>
  <c r="S612" i="131"/>
  <c r="R625" i="131"/>
  <c r="R631" i="131"/>
  <c r="R658" i="131"/>
  <c r="R651" i="131" s="1"/>
  <c r="R677" i="131"/>
  <c r="R696" i="131"/>
  <c r="R695" i="131" s="1"/>
  <c r="R690" i="131" s="1"/>
  <c r="R749" i="131"/>
  <c r="R748" i="131" s="1"/>
  <c r="S769" i="131"/>
  <c r="S768" i="131" s="1"/>
  <c r="S1971" i="131"/>
  <c r="S1970" i="131" s="1"/>
  <c r="R2071" i="131"/>
  <c r="R2397" i="131" s="1"/>
  <c r="R2163" i="131"/>
  <c r="R2180" i="131"/>
  <c r="S2291" i="131"/>
  <c r="S2290" i="131" s="1"/>
  <c r="S2327" i="131"/>
  <c r="S2326" i="131" s="1"/>
  <c r="S2325" i="131" s="1"/>
  <c r="S2324" i="131" s="1"/>
  <c r="S2451" i="131" s="1"/>
  <c r="K1241" i="131"/>
  <c r="H1157" i="131"/>
  <c r="L438" i="131"/>
  <c r="J517" i="131"/>
  <c r="L545" i="131"/>
  <c r="L931" i="131"/>
  <c r="J1058" i="131"/>
  <c r="I1152" i="131"/>
  <c r="J26" i="114" s="1"/>
  <c r="I1157" i="131"/>
  <c r="I1163" i="131"/>
  <c r="I1311" i="131"/>
  <c r="J1450" i="131"/>
  <c r="L1450" i="131" s="1"/>
  <c r="L1461" i="131"/>
  <c r="J1465" i="131"/>
  <c r="J1473" i="131"/>
  <c r="L1473" i="131" s="1"/>
  <c r="J1485" i="131"/>
  <c r="J1484" i="131" s="1"/>
  <c r="I1502" i="131"/>
  <c r="L1543" i="131"/>
  <c r="K1622" i="131"/>
  <c r="M1622" i="131" s="1"/>
  <c r="J1740" i="131"/>
  <c r="J1739" i="131" s="1"/>
  <c r="J1738" i="131" s="1"/>
  <c r="J1737" i="131" s="1"/>
  <c r="L1865" i="131"/>
  <c r="L2033" i="131"/>
  <c r="L2107" i="131"/>
  <c r="L2106" i="131" s="1"/>
  <c r="L2121" i="131"/>
  <c r="L2200" i="131"/>
  <c r="W2273" i="131"/>
  <c r="X1462" i="131"/>
  <c r="J421" i="131"/>
  <c r="K263" i="114" s="1"/>
  <c r="K262" i="114" s="1"/>
  <c r="K1109" i="131"/>
  <c r="M1109" i="131" s="1"/>
  <c r="V2327" i="131"/>
  <c r="V2326" i="131" s="1"/>
  <c r="V2325" i="131" s="1"/>
  <c r="L1781" i="131"/>
  <c r="V1710" i="131"/>
  <c r="V1704" i="131" s="1"/>
  <c r="V2413" i="131" s="1"/>
  <c r="K1663" i="131"/>
  <c r="K1651" i="131"/>
  <c r="M1651" i="131" s="1"/>
  <c r="V1516" i="131"/>
  <c r="V1515" i="131" s="1"/>
  <c r="U1410" i="131"/>
  <c r="U1409" i="131" s="1"/>
  <c r="K1401" i="131"/>
  <c r="M1401" i="131" s="1"/>
  <c r="K1388" i="131"/>
  <c r="M1388" i="131" s="1"/>
  <c r="V1283" i="131"/>
  <c r="V1282" i="131" s="1"/>
  <c r="V2412" i="131" s="1"/>
  <c r="L1085" i="131"/>
  <c r="H886" i="131"/>
  <c r="H2376" i="131"/>
  <c r="U780" i="131"/>
  <c r="U776" i="131" s="1"/>
  <c r="H749" i="131"/>
  <c r="N696" i="131"/>
  <c r="N695" i="131" s="1"/>
  <c r="N690" i="131" s="1"/>
  <c r="U631" i="131"/>
  <c r="U624" i="131" s="1"/>
  <c r="U611" i="131" s="1"/>
  <c r="L539" i="131"/>
  <c r="G517" i="131"/>
  <c r="U477" i="131"/>
  <c r="U476" i="131" s="1"/>
  <c r="U475" i="131" s="1"/>
  <c r="H458" i="131"/>
  <c r="V458" i="131"/>
  <c r="V448" i="131" s="1"/>
  <c r="V435" i="131"/>
  <c r="V426" i="131" s="1"/>
  <c r="V376" i="131"/>
  <c r="G376" i="131"/>
  <c r="G370" i="131" s="1"/>
  <c r="G366" i="131" s="1"/>
  <c r="N371" i="131"/>
  <c r="L260" i="131"/>
  <c r="L142" i="131"/>
  <c r="X68" i="131"/>
  <c r="X57" i="131"/>
  <c r="L367" i="131"/>
  <c r="K1315" i="131"/>
  <c r="I357" i="114"/>
  <c r="I356" i="114" s="1"/>
  <c r="L1937" i="131"/>
  <c r="M357" i="114" s="1"/>
  <c r="M356" i="114" s="1"/>
  <c r="W241" i="131"/>
  <c r="T241" i="131"/>
  <c r="G1429" i="131"/>
  <c r="W1429" i="131" s="1"/>
  <c r="K1430" i="131"/>
  <c r="M1430" i="131" s="1"/>
  <c r="W1430" i="131"/>
  <c r="H334" i="114"/>
  <c r="H333" i="114" s="1"/>
  <c r="G1908" i="131"/>
  <c r="K584" i="131"/>
  <c r="T584" i="131"/>
  <c r="I645" i="131"/>
  <c r="W645" i="131" s="1"/>
  <c r="T646" i="131"/>
  <c r="I755" i="131"/>
  <c r="I754" i="131" s="1"/>
  <c r="I748" i="131" s="1"/>
  <c r="K756" i="131"/>
  <c r="M756" i="131" s="1"/>
  <c r="W998" i="131"/>
  <c r="I990" i="131"/>
  <c r="J170" i="114"/>
  <c r="J169" i="114" s="1"/>
  <c r="J1279" i="131"/>
  <c r="J1278" i="131" s="1"/>
  <c r="J2410" i="131" s="1"/>
  <c r="F12" i="36" s="1"/>
  <c r="L1280" i="131"/>
  <c r="L1294" i="131"/>
  <c r="J1293" i="131"/>
  <c r="K15" i="114" s="1"/>
  <c r="K14" i="114" s="1"/>
  <c r="I1527" i="131"/>
  <c r="K1528" i="131"/>
  <c r="L1638" i="131"/>
  <c r="J1637" i="131"/>
  <c r="L1637" i="131" s="1"/>
  <c r="J1648" i="131"/>
  <c r="K1795" i="131"/>
  <c r="I1831" i="131"/>
  <c r="J219" i="114" s="1"/>
  <c r="J218" i="114" s="1"/>
  <c r="K1832" i="131"/>
  <c r="I1858" i="131"/>
  <c r="K1859" i="131"/>
  <c r="M1859" i="131" s="1"/>
  <c r="J344" i="114"/>
  <c r="K1916" i="131"/>
  <c r="W2221" i="131"/>
  <c r="K2221" i="131"/>
  <c r="M710" i="131"/>
  <c r="X710" i="131"/>
  <c r="M1415" i="131"/>
  <c r="X1415" i="131"/>
  <c r="M1784" i="131"/>
  <c r="X1784" i="131"/>
  <c r="M1790" i="131"/>
  <c r="X1790" i="131"/>
  <c r="M1989" i="131"/>
  <c r="X1989" i="131"/>
  <c r="M403" i="114"/>
  <c r="L2052" i="131"/>
  <c r="M2199" i="131"/>
  <c r="X2199" i="131"/>
  <c r="L1587" i="131"/>
  <c r="W1457" i="131"/>
  <c r="L95" i="131"/>
  <c r="W584" i="131"/>
  <c r="K640" i="131"/>
  <c r="M640" i="131" s="1"/>
  <c r="W2033" i="131"/>
  <c r="W1010" i="131"/>
  <c r="L1938" i="131"/>
  <c r="X2002" i="131"/>
  <c r="L102" i="131"/>
  <c r="K2121" i="131"/>
  <c r="I185" i="114"/>
  <c r="I184" i="114" s="1"/>
  <c r="H1925" i="131"/>
  <c r="I349" i="114" s="1"/>
  <c r="I348" i="114" s="1"/>
  <c r="L1926" i="131"/>
  <c r="G1443" i="131"/>
  <c r="K1444" i="131"/>
  <c r="K732" i="131"/>
  <c r="M732" i="131" s="1"/>
  <c r="I720" i="131"/>
  <c r="J762" i="131"/>
  <c r="L762" i="131" s="1"/>
  <c r="L763" i="131"/>
  <c r="W792" i="131"/>
  <c r="T792" i="131"/>
  <c r="K792" i="131"/>
  <c r="M792" i="131" s="1"/>
  <c r="K813" i="131"/>
  <c r="M813" i="131" s="1"/>
  <c r="K1070" i="131"/>
  <c r="M1070" i="131" s="1"/>
  <c r="T1070" i="131"/>
  <c r="W1089" i="131"/>
  <c r="I1076" i="131"/>
  <c r="I1075" i="131" s="1"/>
  <c r="I1074" i="131" s="1"/>
  <c r="I1073" i="131" s="1"/>
  <c r="J1179" i="131"/>
  <c r="J1175" i="131" s="1"/>
  <c r="L1180" i="131"/>
  <c r="J1223" i="131"/>
  <c r="L1224" i="131"/>
  <c r="K290" i="114"/>
  <c r="K289" i="114" s="1"/>
  <c r="I1339" i="131"/>
  <c r="K1360" i="131"/>
  <c r="J1412" i="131"/>
  <c r="J1411" i="131" s="1"/>
  <c r="J1437" i="131"/>
  <c r="L1437" i="131" s="1"/>
  <c r="L1438" i="131"/>
  <c r="K1448" i="131"/>
  <c r="I1447" i="131"/>
  <c r="J402" i="114" s="1"/>
  <c r="I1450" i="131"/>
  <c r="T1453" i="131"/>
  <c r="W1762" i="131"/>
  <c r="T1762" i="131"/>
  <c r="I1771" i="131"/>
  <c r="K1772" i="131"/>
  <c r="I1966" i="131"/>
  <c r="J372" i="114"/>
  <c r="J371" i="114" s="1"/>
  <c r="J370" i="114" s="1"/>
  <c r="K2107" i="131"/>
  <c r="K2106" i="131" s="1"/>
  <c r="L330" i="114" s="1"/>
  <c r="L329" i="114" s="1"/>
  <c r="I2106" i="131"/>
  <c r="J2313" i="131"/>
  <c r="K28" i="114" s="1"/>
  <c r="L2314" i="131"/>
  <c r="M321" i="131"/>
  <c r="X321" i="131"/>
  <c r="M378" i="131"/>
  <c r="X378" i="131"/>
  <c r="M409" i="131"/>
  <c r="X409" i="131"/>
  <c r="G1356" i="131"/>
  <c r="K1356" i="131" s="1"/>
  <c r="L386" i="114" s="1"/>
  <c r="L385" i="114" s="1"/>
  <c r="K1357" i="131"/>
  <c r="G1426" i="131"/>
  <c r="K1426" i="131" s="1"/>
  <c r="K1427" i="131"/>
  <c r="J1098" i="131"/>
  <c r="K17" i="114"/>
  <c r="K16" i="114" s="1"/>
  <c r="I1321" i="131"/>
  <c r="I2380" i="131" s="1"/>
  <c r="J47" i="114"/>
  <c r="J46" i="114" s="1"/>
  <c r="J45" i="114" s="1"/>
  <c r="K2234" i="131"/>
  <c r="M2234" i="131" s="1"/>
  <c r="K1329" i="131"/>
  <c r="L287" i="114" s="1"/>
  <c r="T836" i="131"/>
  <c r="K2208" i="131"/>
  <c r="M2208" i="131" s="1"/>
  <c r="L2280" i="131"/>
  <c r="K1330" i="131"/>
  <c r="M1330" i="131" s="1"/>
  <c r="I207" i="114"/>
  <c r="I206" i="114" s="1"/>
  <c r="K2171" i="131"/>
  <c r="T1457" i="131"/>
  <c r="K1917" i="131"/>
  <c r="K2033" i="131"/>
  <c r="M2033" i="131" s="1"/>
  <c r="W1453" i="131"/>
  <c r="G1840" i="131"/>
  <c r="H225" i="114" s="1"/>
  <c r="H224" i="114" s="1"/>
  <c r="L1309" i="131"/>
  <c r="K588" i="131"/>
  <c r="M588" i="131" s="1"/>
  <c r="R1522" i="131"/>
  <c r="K893" i="131"/>
  <c r="M893" i="131" s="1"/>
  <c r="T1807" i="131"/>
  <c r="J136" i="114"/>
  <c r="L136" i="114" s="1"/>
  <c r="X525" i="131"/>
  <c r="L1327" i="131"/>
  <c r="T1430" i="131"/>
  <c r="X2217" i="131"/>
  <c r="K241" i="131"/>
  <c r="M241" i="131" s="1"/>
  <c r="I319" i="114"/>
  <c r="I318" i="114" s="1"/>
  <c r="W1414" i="131"/>
  <c r="T1414" i="131"/>
  <c r="G1326" i="131"/>
  <c r="K1326" i="131" s="1"/>
  <c r="K1327" i="131"/>
  <c r="M1327" i="131" s="1"/>
  <c r="V1066" i="131"/>
  <c r="V1065" i="131" s="1"/>
  <c r="V1064" i="131" s="1"/>
  <c r="V1063" i="131" s="1"/>
  <c r="K795" i="131"/>
  <c r="M795" i="131" s="1"/>
  <c r="T795" i="131"/>
  <c r="G759" i="131"/>
  <c r="K759" i="131" s="1"/>
  <c r="M759" i="131" s="1"/>
  <c r="K760" i="131"/>
  <c r="M760" i="131" s="1"/>
  <c r="T721" i="131"/>
  <c r="W721" i="131"/>
  <c r="V590" i="131"/>
  <c r="T464" i="131"/>
  <c r="W464" i="131"/>
  <c r="W453" i="131"/>
  <c r="T453" i="131"/>
  <c r="I255" i="114"/>
  <c r="I254" i="114" s="1"/>
  <c r="V278" i="131"/>
  <c r="V2417" i="131"/>
  <c r="H185" i="131"/>
  <c r="H1465" i="131"/>
  <c r="L1465" i="131" s="1"/>
  <c r="W1758" i="131"/>
  <c r="G555" i="131"/>
  <c r="K661" i="131"/>
  <c r="H1043" i="131"/>
  <c r="I31" i="114" s="1"/>
  <c r="L1155" i="131"/>
  <c r="L1257" i="131"/>
  <c r="R2371" i="131"/>
  <c r="R112" i="131"/>
  <c r="R2376" i="131"/>
  <c r="K821" i="131"/>
  <c r="K1880" i="131"/>
  <c r="G1948" i="131"/>
  <c r="H363" i="114" s="1"/>
  <c r="H362" i="114" s="1"/>
  <c r="W47" i="131"/>
  <c r="L549" i="131"/>
  <c r="K30" i="114"/>
  <c r="L916" i="131"/>
  <c r="L937" i="131"/>
  <c r="L1019" i="131"/>
  <c r="L1448" i="131"/>
  <c r="W1614" i="131"/>
  <c r="T1661" i="131"/>
  <c r="L1859" i="131"/>
  <c r="J1985" i="131"/>
  <c r="L2188" i="131"/>
  <c r="J2187" i="131"/>
  <c r="L2187" i="131" s="1"/>
  <c r="M2021" i="131"/>
  <c r="X2021" i="131"/>
  <c r="M2028" i="131"/>
  <c r="X2028" i="131"/>
  <c r="M2041" i="131"/>
  <c r="X2041" i="131"/>
  <c r="L2332" i="131"/>
  <c r="L2328" i="131"/>
  <c r="G2195" i="131"/>
  <c r="V2195" i="131"/>
  <c r="H2195" i="131"/>
  <c r="U2195" i="131"/>
  <c r="U2089" i="131"/>
  <c r="U2059" i="131" s="1"/>
  <c r="X1984" i="131"/>
  <c r="K1817" i="131"/>
  <c r="G1814" i="131"/>
  <c r="G1813" i="131" s="1"/>
  <c r="N1740" i="131"/>
  <c r="N1739" i="131" s="1"/>
  <c r="N1738" i="131" s="1"/>
  <c r="K1711" i="131"/>
  <c r="M1711" i="131" s="1"/>
  <c r="U1586" i="131"/>
  <c r="U1585" i="131" s="1"/>
  <c r="U1584" i="131" s="1"/>
  <c r="V1450" i="131"/>
  <c r="V1432" i="131" s="1"/>
  <c r="V1423" i="131" s="1"/>
  <c r="G1450" i="131"/>
  <c r="U1450" i="131"/>
  <c r="U1432" i="131" s="1"/>
  <c r="U1423" i="131" s="1"/>
  <c r="H1450" i="131"/>
  <c r="X1391" i="131"/>
  <c r="L1365" i="131"/>
  <c r="L1346" i="131"/>
  <c r="H1342" i="131"/>
  <c r="V1289" i="131"/>
  <c r="V2378" i="131" s="1"/>
  <c r="L1286" i="131"/>
  <c r="V1248" i="131"/>
  <c r="V1247" i="131" s="1"/>
  <c r="V2409" i="131" s="1"/>
  <c r="V1222" i="131"/>
  <c r="V1221" i="131" s="1"/>
  <c r="L1208" i="131"/>
  <c r="L1128" i="131"/>
  <c r="N1076" i="131"/>
  <c r="N1075" i="131" s="1"/>
  <c r="N1074" i="131" s="1"/>
  <c r="N1073" i="131" s="1"/>
  <c r="N2437" i="131" s="1"/>
  <c r="U990" i="131"/>
  <c r="K980" i="131"/>
  <c r="M980" i="131" s="1"/>
  <c r="W916" i="131"/>
  <c r="N904" i="131"/>
  <c r="N903" i="131" s="1"/>
  <c r="N897" i="131" s="1"/>
  <c r="N884" i="131" s="1"/>
  <c r="N812" i="131"/>
  <c r="N811" i="131" s="1"/>
  <c r="N810" i="131" s="1"/>
  <c r="N805" i="131" s="1"/>
  <c r="N2433" i="131" s="1"/>
  <c r="N2439" i="131" s="1"/>
  <c r="H791" i="131"/>
  <c r="T785" i="131"/>
  <c r="V720" i="131"/>
  <c r="H720" i="131"/>
  <c r="K685" i="131"/>
  <c r="N590" i="131"/>
  <c r="U590" i="131"/>
  <c r="W580" i="131"/>
  <c r="U569" i="131"/>
  <c r="N569" i="131"/>
  <c r="T563" i="131"/>
  <c r="T562" i="131" s="1"/>
  <c r="U538" i="131"/>
  <c r="U537" i="131" s="1"/>
  <c r="V538" i="131"/>
  <c r="V537" i="131" s="1"/>
  <c r="V536" i="131" s="1"/>
  <c r="V535" i="131" s="1"/>
  <c r="V534" i="131" s="1"/>
  <c r="N538" i="131"/>
  <c r="N537" i="131" s="1"/>
  <c r="N536" i="131" s="1"/>
  <c r="V395" i="131"/>
  <c r="V382" i="131"/>
  <c r="U329" i="131"/>
  <c r="V329" i="131"/>
  <c r="T257" i="131"/>
  <c r="N227" i="131"/>
  <c r="H1222" i="131"/>
  <c r="H1221" i="131" s="1"/>
  <c r="H1220" i="131" s="1"/>
  <c r="X1344" i="131"/>
  <c r="X1662" i="131"/>
  <c r="X1650" i="131"/>
  <c r="X1588" i="131"/>
  <c r="X1454" i="131"/>
  <c r="G1247" i="131"/>
  <c r="G2409" i="131" s="1"/>
  <c r="C11" i="36" s="1"/>
  <c r="L11" i="36" s="1"/>
  <c r="U791" i="131"/>
  <c r="V227" i="131"/>
  <c r="L2271" i="131"/>
  <c r="V2376" i="131"/>
  <c r="W2200" i="131"/>
  <c r="W2171" i="131"/>
  <c r="X2046" i="131"/>
  <c r="X1999" i="131"/>
  <c r="L1998" i="131"/>
  <c r="X1995" i="131"/>
  <c r="X1893" i="131"/>
  <c r="X1756" i="131"/>
  <c r="X1744" i="131"/>
  <c r="X1623" i="131"/>
  <c r="L1605" i="131"/>
  <c r="X1600" i="131"/>
  <c r="X1591" i="131"/>
  <c r="L262" i="131"/>
  <c r="J1720" i="131"/>
  <c r="J1719" i="131" s="1"/>
  <c r="I138" i="114"/>
  <c r="I137" i="114" s="1"/>
  <c r="M137" i="114" s="1"/>
  <c r="L2240" i="131"/>
  <c r="T1747" i="131"/>
  <c r="W1747" i="131"/>
  <c r="K1747" i="131"/>
  <c r="M1747" i="131" s="1"/>
  <c r="G1634" i="131"/>
  <c r="W1635" i="131"/>
  <c r="H1596" i="131"/>
  <c r="G1018" i="131"/>
  <c r="H168" i="114" s="1"/>
  <c r="H590" i="131"/>
  <c r="G538" i="131"/>
  <c r="H80" i="114" s="1"/>
  <c r="H79" i="114" s="1"/>
  <c r="U517" i="131"/>
  <c r="N329" i="131"/>
  <c r="N285" i="131" s="1"/>
  <c r="N284" i="131" s="1"/>
  <c r="H185" i="114"/>
  <c r="H184" i="114" s="1"/>
  <c r="G1886" i="131"/>
  <c r="K1886" i="131" s="1"/>
  <c r="K1887" i="131"/>
  <c r="S448" i="131"/>
  <c r="S569" i="131"/>
  <c r="S904" i="131"/>
  <c r="S903" i="131" s="1"/>
  <c r="R2089" i="131"/>
  <c r="H1443" i="131"/>
  <c r="H1433" i="131" s="1"/>
  <c r="L1444" i="131"/>
  <c r="I143" i="114"/>
  <c r="I142" i="114" s="1"/>
  <c r="H1894" i="131"/>
  <c r="T1554" i="131"/>
  <c r="W1554" i="131"/>
  <c r="G1553" i="131"/>
  <c r="W1553" i="131" s="1"/>
  <c r="M25" i="131"/>
  <c r="X25" i="131"/>
  <c r="H2249" i="131"/>
  <c r="I288" i="114" s="1"/>
  <c r="L2250" i="131"/>
  <c r="J119" i="131"/>
  <c r="L120" i="131"/>
  <c r="K239" i="114"/>
  <c r="K238" i="114" s="1"/>
  <c r="J407" i="131"/>
  <c r="L408" i="131"/>
  <c r="J413" i="131"/>
  <c r="L413" i="131" s="1"/>
  <c r="L414" i="131"/>
  <c r="J538" i="131"/>
  <c r="J537" i="131" s="1"/>
  <c r="L541" i="131"/>
  <c r="I762" i="131"/>
  <c r="K763" i="131"/>
  <c r="M763" i="131" s="1"/>
  <c r="K170" i="114"/>
  <c r="K169" i="114" s="1"/>
  <c r="J1076" i="131"/>
  <c r="J1075" i="131" s="1"/>
  <c r="J1074" i="131" s="1"/>
  <c r="J1073" i="131" s="1"/>
  <c r="I1336" i="131"/>
  <c r="K1336" i="131" s="1"/>
  <c r="M1336" i="131" s="1"/>
  <c r="K1337" i="131"/>
  <c r="M1337" i="131" s="1"/>
  <c r="K1343" i="131"/>
  <c r="M1343" i="131" s="1"/>
  <c r="I1359" i="131"/>
  <c r="K1407" i="131"/>
  <c r="M1407" i="131" s="1"/>
  <c r="I1434" i="131"/>
  <c r="J183" i="114" s="1"/>
  <c r="L183" i="114" s="1"/>
  <c r="K1435" i="131"/>
  <c r="J1440" i="131"/>
  <c r="K187" i="114" s="1"/>
  <c r="K186" i="114" s="1"/>
  <c r="L1441" i="131"/>
  <c r="L1560" i="131"/>
  <c r="K1590" i="131"/>
  <c r="W1590" i="131"/>
  <c r="K1635" i="131"/>
  <c r="M1635" i="131" s="1"/>
  <c r="L1817" i="131"/>
  <c r="J1814" i="131"/>
  <c r="J1813" i="131" s="1"/>
  <c r="L1813" i="131" s="1"/>
  <c r="I1904" i="131"/>
  <c r="K1904" i="131" s="1"/>
  <c r="L283" i="114" s="1"/>
  <c r="K1905" i="131"/>
  <c r="J1916" i="131"/>
  <c r="L1917" i="131"/>
  <c r="I1925" i="131"/>
  <c r="K1926" i="131"/>
  <c r="I1937" i="131"/>
  <c r="K1938" i="131"/>
  <c r="J1967" i="131"/>
  <c r="J1966" i="131" s="1"/>
  <c r="L1968" i="131"/>
  <c r="K1996" i="131"/>
  <c r="T1996" i="131"/>
  <c r="W1996" i="131"/>
  <c r="L2073" i="131"/>
  <c r="J2072" i="131"/>
  <c r="I2081" i="131"/>
  <c r="J326" i="114"/>
  <c r="J2114" i="131"/>
  <c r="L2114" i="131" s="1"/>
  <c r="M334" i="114" s="1"/>
  <c r="M333" i="114" s="1"/>
  <c r="L2115" i="131"/>
  <c r="K207" i="114"/>
  <c r="K206" i="114" s="1"/>
  <c r="J2170" i="131"/>
  <c r="J2169" i="131" s="1"/>
  <c r="J2168" i="131" s="1"/>
  <c r="L2171" i="131"/>
  <c r="J2231" i="131"/>
  <c r="L2232" i="131"/>
  <c r="M139" i="131"/>
  <c r="X139" i="131"/>
  <c r="H1624" i="131"/>
  <c r="I310" i="114" s="1"/>
  <c r="L1625" i="131"/>
  <c r="G1524" i="131"/>
  <c r="W1525" i="131"/>
  <c r="T1525" i="131"/>
  <c r="G1031" i="131"/>
  <c r="H170" i="114" s="1"/>
  <c r="W1032" i="131"/>
  <c r="V886" i="131"/>
  <c r="V885" i="131" s="1"/>
  <c r="V769" i="131"/>
  <c r="V768" i="131" s="1"/>
  <c r="V758" i="131" s="1"/>
  <c r="I132" i="114"/>
  <c r="I131" i="114" s="1"/>
  <c r="K1001" i="131"/>
  <c r="M1001" i="131" s="1"/>
  <c r="G2268" i="131"/>
  <c r="G2267" i="131" s="1"/>
  <c r="G2266" i="131" s="1"/>
  <c r="G2265" i="131" s="1"/>
  <c r="L900" i="131"/>
  <c r="L2149" i="131"/>
  <c r="W1663" i="131"/>
  <c r="K57" i="114"/>
  <c r="K56" i="114" s="1"/>
  <c r="H1278" i="131"/>
  <c r="H2410" i="131" s="1"/>
  <c r="D12" i="36" s="1"/>
  <c r="W2048" i="131"/>
  <c r="K2048" i="131"/>
  <c r="H1764" i="131"/>
  <c r="L1765" i="131"/>
  <c r="K1753" i="131"/>
  <c r="M1753" i="131" s="1"/>
  <c r="W1753" i="131"/>
  <c r="I22" i="114"/>
  <c r="I21" i="114" s="1"/>
  <c r="L1511" i="131"/>
  <c r="K2117" i="131"/>
  <c r="L336" i="114" s="1"/>
  <c r="L335" i="114" s="1"/>
  <c r="I2089" i="131"/>
  <c r="U1175" i="131"/>
  <c r="V990" i="131"/>
  <c r="T934" i="131"/>
  <c r="X48" i="131"/>
  <c r="X34" i="131"/>
  <c r="X28" i="131"/>
  <c r="R1864" i="131"/>
  <c r="R1820" i="131" s="1"/>
  <c r="R2421" i="131" s="1"/>
  <c r="R1890" i="131"/>
  <c r="R2388" i="131" s="1"/>
  <c r="K879" i="131"/>
  <c r="K665" i="131"/>
  <c r="L1789" i="131"/>
  <c r="L403" i="131"/>
  <c r="J1919" i="131"/>
  <c r="K1953" i="131"/>
  <c r="L1972" i="131"/>
  <c r="L1971" i="131" s="1"/>
  <c r="T2010" i="131"/>
  <c r="L2026" i="131"/>
  <c r="L2040" i="131"/>
  <c r="L2092" i="131"/>
  <c r="J2163" i="131"/>
  <c r="L2214" i="131"/>
  <c r="W2275" i="131"/>
  <c r="J382" i="131"/>
  <c r="U2213" i="131"/>
  <c r="U2212" i="131" s="1"/>
  <c r="U2211" i="131" s="1"/>
  <c r="V1870" i="131"/>
  <c r="V1869" i="131" s="1"/>
  <c r="V2422" i="131" s="1"/>
  <c r="L1753" i="131"/>
  <c r="L150" i="131"/>
  <c r="S2227" i="131"/>
  <c r="S2226" i="131" s="1"/>
  <c r="S2225" i="131" s="1"/>
  <c r="S2224" i="131" s="1"/>
  <c r="H984" i="131"/>
  <c r="H983" i="131" s="1"/>
  <c r="K603" i="131"/>
  <c r="M603" i="131" s="1"/>
  <c r="K736" i="131"/>
  <c r="M736" i="131" s="1"/>
  <c r="W1070" i="131"/>
  <c r="K306" i="114"/>
  <c r="L1377" i="131"/>
  <c r="X2296" i="131"/>
  <c r="I2375" i="131"/>
  <c r="K652" i="131"/>
  <c r="H25" i="114"/>
  <c r="L1349" i="131"/>
  <c r="K1991" i="131"/>
  <c r="K988" i="131"/>
  <c r="L1350" i="131"/>
  <c r="K2292" i="131"/>
  <c r="K1758" i="131"/>
  <c r="M1758" i="131" s="1"/>
  <c r="K1032" i="131"/>
  <c r="M1032" i="131" s="1"/>
  <c r="L1435" i="131"/>
  <c r="K653" i="131"/>
  <c r="W1394" i="131"/>
  <c r="K1007" i="131"/>
  <c r="M1007" i="131" s="1"/>
  <c r="W1007" i="131"/>
  <c r="W996" i="131"/>
  <c r="K996" i="131"/>
  <c r="M996" i="131" s="1"/>
  <c r="K616" i="131"/>
  <c r="K2092" i="131"/>
  <c r="M2092" i="131" s="1"/>
  <c r="T1394" i="131"/>
  <c r="G857" i="131"/>
  <c r="H401" i="114" s="1"/>
  <c r="J39" i="114"/>
  <c r="L39" i="114" s="1"/>
  <c r="W980" i="131"/>
  <c r="M827" i="131"/>
  <c r="T734" i="131"/>
  <c r="H219" i="114"/>
  <c r="H218" i="114" s="1"/>
  <c r="K1036" i="131"/>
  <c r="L972" i="131"/>
  <c r="W1187" i="131"/>
  <c r="L1304" i="131"/>
  <c r="K1437" i="131"/>
  <c r="G979" i="131"/>
  <c r="G978" i="131" s="1"/>
  <c r="L2048" i="131"/>
  <c r="L2111" i="131"/>
  <c r="M332" i="114" s="1"/>
  <c r="M331" i="114" s="1"/>
  <c r="L2234" i="131"/>
  <c r="X835" i="131"/>
  <c r="H2130" i="131"/>
  <c r="I342" i="114" s="1"/>
  <c r="I341" i="114" s="1"/>
  <c r="G1485" i="131"/>
  <c r="G1484" i="131" s="1"/>
  <c r="G1483" i="131" s="1"/>
  <c r="M734" i="131"/>
  <c r="W734" i="131"/>
  <c r="X734" i="131" s="1"/>
  <c r="K666" i="131"/>
  <c r="K1187" i="131"/>
  <c r="K1334" i="131"/>
  <c r="M1334" i="131" s="1"/>
  <c r="K1438" i="131"/>
  <c r="W1028" i="131"/>
  <c r="H1039" i="131"/>
  <c r="L1039" i="131" s="1"/>
  <c r="L1040" i="131"/>
  <c r="W576" i="131"/>
  <c r="K576" i="131"/>
  <c r="M576" i="131" s="1"/>
  <c r="I569" i="131"/>
  <c r="J78" i="114" s="1"/>
  <c r="J77" i="114" s="1"/>
  <c r="K645" i="131"/>
  <c r="M645" i="131" s="1"/>
  <c r="W703" i="131"/>
  <c r="K703" i="131"/>
  <c r="M703" i="131" s="1"/>
  <c r="W750" i="131"/>
  <c r="K750" i="131"/>
  <c r="W813" i="131"/>
  <c r="K871" i="131"/>
  <c r="M871" i="131" s="1"/>
  <c r="W871" i="131"/>
  <c r="K966" i="131"/>
  <c r="I965" i="131"/>
  <c r="I964" i="131" s="1"/>
  <c r="I979" i="131"/>
  <c r="I978" i="131" s="1"/>
  <c r="T980" i="131"/>
  <c r="K1019" i="131"/>
  <c r="M1019" i="131" s="1"/>
  <c r="I1018" i="131"/>
  <c r="J168" i="114" s="1"/>
  <c r="J167" i="114" s="1"/>
  <c r="I1058" i="131"/>
  <c r="K1061" i="131"/>
  <c r="M1061" i="131" s="1"/>
  <c r="T1089" i="131"/>
  <c r="K1089" i="131"/>
  <c r="M1089" i="131" s="1"/>
  <c r="L1252" i="131"/>
  <c r="L1373" i="131"/>
  <c r="I1510" i="131"/>
  <c r="T1511" i="131"/>
  <c r="W1543" i="131"/>
  <c r="T1543" i="131"/>
  <c r="K1683" i="131"/>
  <c r="L1655" i="131"/>
  <c r="W1547" i="131"/>
  <c r="L1216" i="131"/>
  <c r="L1203" i="131"/>
  <c r="L1190" i="131"/>
  <c r="G990" i="131"/>
  <c r="K972" i="131"/>
  <c r="M972" i="131" s="1"/>
  <c r="T893" i="131"/>
  <c r="K889" i="131"/>
  <c r="M889" i="131" s="1"/>
  <c r="V863" i="131"/>
  <c r="K875" i="131"/>
  <c r="M875" i="131" s="1"/>
  <c r="G791" i="131"/>
  <c r="T703" i="131"/>
  <c r="W647" i="131"/>
  <c r="W603" i="131"/>
  <c r="L1149" i="131"/>
  <c r="L1161" i="131"/>
  <c r="L114" i="131"/>
  <c r="L774" i="131"/>
  <c r="L781" i="131"/>
  <c r="L792" i="131"/>
  <c r="L797" i="131"/>
  <c r="L801" i="131"/>
  <c r="L836" i="131"/>
  <c r="L841" i="131"/>
  <c r="L871" i="131"/>
  <c r="L971" i="131"/>
  <c r="L1046" i="131"/>
  <c r="L1061" i="131"/>
  <c r="K1134" i="131"/>
  <c r="M1134" i="131" s="1"/>
  <c r="K1169" i="131"/>
  <c r="K1312" i="131"/>
  <c r="W1343" i="131"/>
  <c r="W1371" i="131"/>
  <c r="L1469" i="131"/>
  <c r="K1576" i="131"/>
  <c r="M1576" i="131" s="1"/>
  <c r="W1610" i="131"/>
  <c r="K1614" i="131"/>
  <c r="M1614" i="131" s="1"/>
  <c r="T1635" i="131"/>
  <c r="K1653" i="131"/>
  <c r="M1653" i="131" s="1"/>
  <c r="L1694" i="131"/>
  <c r="W1859" i="131"/>
  <c r="X1859" i="131" s="1"/>
  <c r="L1994" i="131"/>
  <c r="L2014" i="131"/>
  <c r="I2376" i="131"/>
  <c r="T2204" i="131"/>
  <c r="K2238" i="131"/>
  <c r="M2238" i="131" s="1"/>
  <c r="X277" i="131"/>
  <c r="X355" i="131"/>
  <c r="X516" i="131"/>
  <c r="X648" i="131"/>
  <c r="X2179" i="131"/>
  <c r="I1425" i="131"/>
  <c r="I1424" i="131" s="1"/>
  <c r="K1923" i="131"/>
  <c r="L1659" i="131"/>
  <c r="L1632" i="131"/>
  <c r="L1601" i="131"/>
  <c r="L1597" i="131"/>
  <c r="L1592" i="131"/>
  <c r="W1539" i="131"/>
  <c r="L1503" i="131"/>
  <c r="L1405" i="131"/>
  <c r="L1401" i="131"/>
  <c r="L1388" i="131"/>
  <c r="L1229" i="131"/>
  <c r="L1212" i="131"/>
  <c r="S984" i="131"/>
  <c r="S983" i="131" s="1"/>
  <c r="S990" i="131"/>
  <c r="S1058" i="131"/>
  <c r="S1152" i="131"/>
  <c r="S1163" i="131"/>
  <c r="S1175" i="131"/>
  <c r="S1196" i="131"/>
  <c r="S2369" i="131"/>
  <c r="S1283" i="131"/>
  <c r="S1282" i="131" s="1"/>
  <c r="S2412" i="131" s="1"/>
  <c r="S1289" i="131"/>
  <c r="S2378" i="131" s="1"/>
  <c r="S1359" i="131"/>
  <c r="S1410" i="131"/>
  <c r="S1409" i="131" s="1"/>
  <c r="S1450" i="131"/>
  <c r="S1465" i="131"/>
  <c r="S1473" i="131"/>
  <c r="S1472" i="131" s="1"/>
  <c r="S1522" i="131"/>
  <c r="S1521" i="131" s="1"/>
  <c r="S1538" i="131"/>
  <c r="S1537" i="131" s="1"/>
  <c r="S1536" i="131" s="1"/>
  <c r="S1629" i="131"/>
  <c r="S1628" i="131" s="1"/>
  <c r="S1627" i="131" s="1"/>
  <c r="S1774" i="131"/>
  <c r="S1769" i="131" s="1"/>
  <c r="S1768" i="131" s="1"/>
  <c r="S1814" i="131"/>
  <c r="S1813" i="131" s="1"/>
  <c r="S1858" i="131"/>
  <c r="S1864" i="131"/>
  <c r="S1820" i="131" s="1"/>
  <c r="R2039" i="131"/>
  <c r="R2038" i="131" s="1"/>
  <c r="R2037" i="131" s="1"/>
  <c r="R2036" i="131" s="1"/>
  <c r="R2426" i="131" s="1"/>
  <c r="L59" i="131"/>
  <c r="H965" i="131"/>
  <c r="H964" i="131" s="1"/>
  <c r="I1043" i="131"/>
  <c r="J1152" i="131"/>
  <c r="K26" i="114" s="1"/>
  <c r="J1163" i="131"/>
  <c r="J1233" i="131"/>
  <c r="J2407" i="131" s="1"/>
  <c r="F9" i="36" s="1"/>
  <c r="I1485" i="131"/>
  <c r="I1492" i="131"/>
  <c r="I1491" i="131" s="1"/>
  <c r="I1516" i="131"/>
  <c r="I1515" i="131" s="1"/>
  <c r="I1538" i="131"/>
  <c r="I1537" i="131" s="1"/>
  <c r="I1536" i="131" s="1"/>
  <c r="I1535" i="131" s="1"/>
  <c r="J1609" i="131"/>
  <c r="J1608" i="131" s="1"/>
  <c r="L1873" i="131"/>
  <c r="K2344" i="131"/>
  <c r="T1461" i="131"/>
  <c r="H2213" i="131"/>
  <c r="H2212" i="131" s="1"/>
  <c r="H2211" i="131" s="1"/>
  <c r="U2025" i="131"/>
  <c r="U2024" i="131" s="1"/>
  <c r="K1749" i="131"/>
  <c r="M1749" i="131" s="1"/>
  <c r="K1741" i="131"/>
  <c r="M1741" i="131" s="1"/>
  <c r="G1586" i="131"/>
  <c r="H113" i="114" s="1"/>
  <c r="L1570" i="131"/>
  <c r="K1560" i="131"/>
  <c r="K1493" i="131"/>
  <c r="L1394" i="131"/>
  <c r="K1046" i="131"/>
  <c r="R371" i="131"/>
  <c r="R370" i="131" s="1"/>
  <c r="R366" i="131" s="1"/>
  <c r="R365" i="131" s="1"/>
  <c r="S402" i="131"/>
  <c r="S395" i="131" s="1"/>
  <c r="R458" i="131"/>
  <c r="R448" i="131" s="1"/>
  <c r="R477" i="131"/>
  <c r="R476" i="131" s="1"/>
  <c r="R475" i="131" s="1"/>
  <c r="R791" i="131"/>
  <c r="R863" i="131"/>
  <c r="R1234" i="131"/>
  <c r="R1233" i="131" s="1"/>
  <c r="R2407" i="131" s="1"/>
  <c r="R1596" i="131"/>
  <c r="T813" i="131"/>
  <c r="H305" i="114"/>
  <c r="K106" i="114"/>
  <c r="K305" i="114"/>
  <c r="X352" i="131"/>
  <c r="X373" i="131"/>
  <c r="U2443" i="131"/>
  <c r="U2444" i="131" s="1"/>
  <c r="X245" i="131"/>
  <c r="W207" i="131"/>
  <c r="L111" i="114"/>
  <c r="M355" i="131"/>
  <c r="T400" i="131"/>
  <c r="K387" i="131"/>
  <c r="T647" i="131"/>
  <c r="L433" i="131"/>
  <c r="L217" i="131"/>
  <c r="X434" i="131"/>
  <c r="M516" i="131"/>
  <c r="K243" i="114"/>
  <c r="L389" i="131"/>
  <c r="X531" i="131"/>
  <c r="M352" i="131"/>
  <c r="M60" i="114"/>
  <c r="M59" i="114" s="1"/>
  <c r="X385" i="131"/>
  <c r="K621" i="131"/>
  <c r="J100" i="131"/>
  <c r="J90" i="131" s="1"/>
  <c r="J88" i="131" s="1"/>
  <c r="J87" i="131" s="1"/>
  <c r="K66" i="114" s="1"/>
  <c r="K65" i="114" s="1"/>
  <c r="W208" i="131"/>
  <c r="X69" i="131"/>
  <c r="W646" i="131"/>
  <c r="H212" i="131"/>
  <c r="W400" i="131"/>
  <c r="M261" i="114"/>
  <c r="I399" i="114"/>
  <c r="X474" i="131"/>
  <c r="D19" i="36"/>
  <c r="D17" i="36" s="1"/>
  <c r="X314" i="131"/>
  <c r="H278" i="131"/>
  <c r="X510" i="131"/>
  <c r="X23" i="131"/>
  <c r="M648" i="131"/>
  <c r="X546" i="131"/>
  <c r="X604" i="131"/>
  <c r="X258" i="131"/>
  <c r="X252" i="131"/>
  <c r="K622" i="131"/>
  <c r="L390" i="131"/>
  <c r="K208" i="131"/>
  <c r="T591" i="131"/>
  <c r="X247" i="131"/>
  <c r="X266" i="131"/>
  <c r="S1248" i="131"/>
  <c r="S1247" i="131" s="1"/>
  <c r="S2409" i="131" s="1"/>
  <c r="I1900" i="131"/>
  <c r="K1900" i="131" s="1"/>
  <c r="K1901" i="131"/>
  <c r="K1929" i="131"/>
  <c r="I1928" i="131"/>
  <c r="J2139" i="131"/>
  <c r="K199" i="114"/>
  <c r="K198" i="114" s="1"/>
  <c r="I2279" i="131"/>
  <c r="W2280" i="131"/>
  <c r="K2280" i="131"/>
  <c r="L2198" i="131"/>
  <c r="J2195" i="131"/>
  <c r="J2292" i="131"/>
  <c r="L2293" i="131"/>
  <c r="M1204" i="131"/>
  <c r="X1204" i="131"/>
  <c r="M1268" i="131"/>
  <c r="X1268" i="131"/>
  <c r="M1281" i="131"/>
  <c r="X1281" i="131"/>
  <c r="L2235" i="131"/>
  <c r="J2176" i="131"/>
  <c r="J2175" i="131" s="1"/>
  <c r="X1228" i="131"/>
  <c r="M835" i="131"/>
  <c r="X784" i="131"/>
  <c r="G754" i="131"/>
  <c r="J92" i="114"/>
  <c r="J91" i="114" s="1"/>
  <c r="J2154" i="131"/>
  <c r="K217" i="114" s="1"/>
  <c r="K216" i="114" s="1"/>
  <c r="L2155" i="131"/>
  <c r="J28" i="114"/>
  <c r="K2336" i="131"/>
  <c r="J121" i="114"/>
  <c r="J120" i="114" s="1"/>
  <c r="L120" i="114" s="1"/>
  <c r="M138" i="131"/>
  <c r="X138" i="131"/>
  <c r="M94" i="114"/>
  <c r="M93" i="114" s="1"/>
  <c r="M869" i="131"/>
  <c r="X869" i="131"/>
  <c r="M1213" i="131"/>
  <c r="X1213" i="131"/>
  <c r="M2047" i="131"/>
  <c r="X2047" i="131"/>
  <c r="K90" i="114"/>
  <c r="L1920" i="131"/>
  <c r="L2301" i="131"/>
  <c r="K2337" i="131"/>
  <c r="J1894" i="131"/>
  <c r="L1895" i="131"/>
  <c r="K1910" i="131"/>
  <c r="I1909" i="131"/>
  <c r="J2184" i="131"/>
  <c r="L2185" i="131"/>
  <c r="J2228" i="131"/>
  <c r="L2229" i="131"/>
  <c r="I2258" i="131"/>
  <c r="W2259" i="131"/>
  <c r="K2259" i="131"/>
  <c r="M2259" i="131" s="1"/>
  <c r="K117" i="114"/>
  <c r="K116" i="114" s="1"/>
  <c r="L2300" i="131"/>
  <c r="X779" i="131"/>
  <c r="M779" i="131"/>
  <c r="M809" i="131"/>
  <c r="X809" i="131"/>
  <c r="M817" i="131"/>
  <c r="X817" i="131"/>
  <c r="M832" i="131"/>
  <c r="X832" i="131"/>
  <c r="M872" i="131"/>
  <c r="X872" i="131"/>
  <c r="X1217" i="131"/>
  <c r="M1217" i="131"/>
  <c r="M1351" i="131"/>
  <c r="X1351" i="131"/>
  <c r="M2045" i="131"/>
  <c r="X2045" i="131"/>
  <c r="M2050" i="131"/>
  <c r="X2050" i="131"/>
  <c r="L2166" i="131"/>
  <c r="X1191" i="131"/>
  <c r="K2332" i="131"/>
  <c r="K2364" i="131"/>
  <c r="M2364" i="131" s="1"/>
  <c r="G2363" i="131"/>
  <c r="K2363" i="131" s="1"/>
  <c r="M2363" i="131" s="1"/>
  <c r="V2291" i="131"/>
  <c r="V2290" i="131" s="1"/>
  <c r="V2289" i="131" s="1"/>
  <c r="L2202" i="131"/>
  <c r="K2193" i="131"/>
  <c r="M2193" i="131" s="1"/>
  <c r="G2192" i="131"/>
  <c r="G2191" i="131" s="1"/>
  <c r="H2039" i="131"/>
  <c r="H2038" i="131" s="1"/>
  <c r="H2037" i="131" s="1"/>
  <c r="L2044" i="131"/>
  <c r="L1762" i="131"/>
  <c r="H1740" i="131"/>
  <c r="I54" i="114" s="1"/>
  <c r="I53" i="114" s="1"/>
  <c r="I52" i="114" s="1"/>
  <c r="V1740" i="131"/>
  <c r="V1739" i="131" s="1"/>
  <c r="V1738" i="131" s="1"/>
  <c r="V1737" i="131" s="1"/>
  <c r="H1721" i="131"/>
  <c r="L1722" i="131"/>
  <c r="W1511" i="131"/>
  <c r="G1510" i="131"/>
  <c r="G1509" i="131" s="1"/>
  <c r="G1508" i="131" s="1"/>
  <c r="G1507" i="131" s="1"/>
  <c r="K1511" i="131"/>
  <c r="T1451" i="131"/>
  <c r="W1451" i="131"/>
  <c r="N1388" i="131"/>
  <c r="N1359" i="131"/>
  <c r="N1288" i="131" s="1"/>
  <c r="G1279" i="131"/>
  <c r="T1280" i="131"/>
  <c r="X1266" i="131"/>
  <c r="R329" i="131"/>
  <c r="S382" i="131"/>
  <c r="R569" i="131"/>
  <c r="R590" i="131"/>
  <c r="R812" i="131"/>
  <c r="R811" i="131" s="1"/>
  <c r="R810" i="131" s="1"/>
  <c r="R904" i="131"/>
  <c r="R903" i="131" s="1"/>
  <c r="R1248" i="131"/>
  <c r="R1247" i="131" s="1"/>
  <c r="R2409" i="131" s="1"/>
  <c r="J556" i="131"/>
  <c r="L556" i="131" s="1"/>
  <c r="L557" i="131"/>
  <c r="J692" i="131"/>
  <c r="J691" i="131" s="1"/>
  <c r="L691" i="131" s="1"/>
  <c r="L693" i="131"/>
  <c r="J1048" i="131"/>
  <c r="L1052" i="131"/>
  <c r="T1125" i="131"/>
  <c r="K1125" i="131"/>
  <c r="M1125" i="131" s="1"/>
  <c r="I1186" i="131"/>
  <c r="I1175" i="131" s="1"/>
  <c r="T1187" i="131"/>
  <c r="I1193" i="131"/>
  <c r="K1194" i="131"/>
  <c r="M1194" i="131" s="1"/>
  <c r="T1363" i="131"/>
  <c r="W1363" i="131"/>
  <c r="W1375" i="131"/>
  <c r="T1375" i="131"/>
  <c r="K1417" i="131"/>
  <c r="K1416" i="131" s="1"/>
  <c r="L1457" i="131"/>
  <c r="L1493" i="131"/>
  <c r="J1492" i="131"/>
  <c r="L1519" i="131"/>
  <c r="J1516" i="131"/>
  <c r="J1515" i="131" s="1"/>
  <c r="W1594" i="131"/>
  <c r="K1594" i="131"/>
  <c r="K1599" i="131"/>
  <c r="M1599" i="131" s="1"/>
  <c r="T1599" i="131"/>
  <c r="T1596" i="131" s="1"/>
  <c r="I1596" i="131"/>
  <c r="I1641" i="131"/>
  <c r="I1640" i="131" s="1"/>
  <c r="K1640" i="131" s="1"/>
  <c r="M1640" i="131" s="1"/>
  <c r="W1642" i="131"/>
  <c r="W1661" i="131"/>
  <c r="K1661" i="131"/>
  <c r="M1661" i="131" s="1"/>
  <c r="J1831" i="131"/>
  <c r="L1832" i="131"/>
  <c r="J1851" i="131"/>
  <c r="K231" i="114" s="1"/>
  <c r="K230" i="114" s="1"/>
  <c r="L1852" i="131"/>
  <c r="J361" i="114"/>
  <c r="J360" i="114" s="1"/>
  <c r="I1878" i="131"/>
  <c r="I1877" i="131" s="1"/>
  <c r="J1900" i="131"/>
  <c r="L1901" i="131"/>
  <c r="J1928" i="131"/>
  <c r="L1929" i="131"/>
  <c r="L1941" i="131"/>
  <c r="J1940" i="131"/>
  <c r="K359" i="114" s="1"/>
  <c r="K358" i="114" s="1"/>
  <c r="J403" i="114"/>
  <c r="I2052" i="131"/>
  <c r="J2078" i="131"/>
  <c r="L2079" i="131"/>
  <c r="I2114" i="131"/>
  <c r="K2115" i="131"/>
  <c r="I2133" i="131"/>
  <c r="K2133" i="131" s="1"/>
  <c r="K2134" i="131"/>
  <c r="I2151" i="131"/>
  <c r="J207" i="114" s="1"/>
  <c r="J206" i="114" s="1"/>
  <c r="K2152" i="131"/>
  <c r="M2152" i="131" s="1"/>
  <c r="K2182" i="131"/>
  <c r="M2182" i="131" s="1"/>
  <c r="I2181" i="131"/>
  <c r="I2180" i="131" s="1"/>
  <c r="I2231" i="131"/>
  <c r="I2227" i="131" s="1"/>
  <c r="K2232" i="131"/>
  <c r="M2232" i="131" s="1"/>
  <c r="J2258" i="131"/>
  <c r="J2248" i="131" s="1"/>
  <c r="L2259" i="131"/>
  <c r="I2297" i="131"/>
  <c r="I2291" i="131" s="1"/>
  <c r="K2298" i="131"/>
  <c r="M2298" i="131" s="1"/>
  <c r="J2363" i="131"/>
  <c r="J2362" i="131" s="1"/>
  <c r="J2361" i="131" s="1"/>
  <c r="J2360" i="131" s="1"/>
  <c r="J2359" i="131" s="1"/>
  <c r="L2364" i="131"/>
  <c r="M249" i="131"/>
  <c r="X249" i="131"/>
  <c r="M255" i="131"/>
  <c r="X255" i="131"/>
  <c r="M439" i="131"/>
  <c r="X439" i="131"/>
  <c r="M454" i="131"/>
  <c r="X454" i="131"/>
  <c r="M481" i="131"/>
  <c r="X481" i="131"/>
  <c r="M504" i="131"/>
  <c r="X504" i="131"/>
  <c r="M521" i="131"/>
  <c r="X521" i="131"/>
  <c r="M533" i="131"/>
  <c r="X533" i="131"/>
  <c r="M542" i="131"/>
  <c r="X542" i="131"/>
  <c r="M581" i="131"/>
  <c r="X581" i="131"/>
  <c r="P645" i="131"/>
  <c r="M593" i="131"/>
  <c r="X593" i="131"/>
  <c r="M708" i="131"/>
  <c r="X708" i="131"/>
  <c r="M722" i="131"/>
  <c r="X722" i="131"/>
  <c r="M735" i="131"/>
  <c r="X735" i="131"/>
  <c r="M744" i="131"/>
  <c r="X744" i="131"/>
  <c r="M1370" i="131"/>
  <c r="X1370" i="131"/>
  <c r="X1393" i="131"/>
  <c r="M1431" i="131"/>
  <c r="X1431" i="131"/>
  <c r="M1687" i="131"/>
  <c r="X1687" i="131"/>
  <c r="M1699" i="131"/>
  <c r="X1699" i="131"/>
  <c r="M1748" i="131"/>
  <c r="X1748" i="131"/>
  <c r="M1763" i="131"/>
  <c r="X1763" i="131"/>
  <c r="M1793" i="131"/>
  <c r="X1793" i="131"/>
  <c r="M1798" i="131"/>
  <c r="X1798" i="131"/>
  <c r="M1800" i="131"/>
  <c r="X1800" i="131"/>
  <c r="M1810" i="131"/>
  <c r="X1810" i="131"/>
  <c r="M1861" i="131"/>
  <c r="X1861" i="131"/>
  <c r="X1899" i="131"/>
  <c r="M1992" i="131"/>
  <c r="X1992" i="131"/>
  <c r="M2011" i="131"/>
  <c r="X2011" i="131"/>
  <c r="M2222" i="131"/>
  <c r="X2222" i="131"/>
  <c r="K62" i="114"/>
  <c r="K61" i="114" s="1"/>
  <c r="H2362" i="131"/>
  <c r="H2361" i="131" s="1"/>
  <c r="H2360" i="131" s="1"/>
  <c r="G227" i="131"/>
  <c r="H332" i="114"/>
  <c r="H331" i="114" s="1"/>
  <c r="K2111" i="131"/>
  <c r="L332" i="114" s="1"/>
  <c r="L331" i="114" s="1"/>
  <c r="N42" i="114"/>
  <c r="T231" i="131"/>
  <c r="W231" i="131"/>
  <c r="L607" i="131"/>
  <c r="K1176" i="131"/>
  <c r="H321" i="114"/>
  <c r="H320" i="114" s="1"/>
  <c r="H317" i="114" s="1"/>
  <c r="G2148" i="131"/>
  <c r="K2149" i="131"/>
  <c r="H124" i="114"/>
  <c r="H123" i="114" s="1"/>
  <c r="H122" i="114" s="1"/>
  <c r="G2304" i="131"/>
  <c r="G2303" i="131" s="1"/>
  <c r="W2271" i="131"/>
  <c r="G2228" i="131"/>
  <c r="K2229" i="131"/>
  <c r="W2229" i="131"/>
  <c r="W2214" i="131"/>
  <c r="K2214" i="131"/>
  <c r="M2214" i="131" s="1"/>
  <c r="K2204" i="131"/>
  <c r="M2204" i="131" s="1"/>
  <c r="W2204" i="131"/>
  <c r="G2056" i="131"/>
  <c r="K2056" i="131" s="1"/>
  <c r="K2057" i="131"/>
  <c r="L1988" i="131"/>
  <c r="K1867" i="131"/>
  <c r="M1867" i="131" s="1"/>
  <c r="W1867" i="131"/>
  <c r="X1759" i="131"/>
  <c r="X1736" i="131"/>
  <c r="X1714" i="131"/>
  <c r="X1693" i="131"/>
  <c r="X1691" i="131"/>
  <c r="X1689" i="131"/>
  <c r="L1683" i="131"/>
  <c r="W1649" i="131"/>
  <c r="L1547" i="131"/>
  <c r="X1520" i="131"/>
  <c r="H361" i="114"/>
  <c r="H360" i="114" s="1"/>
  <c r="R2174" i="131"/>
  <c r="R2173" i="131" s="1"/>
  <c r="W76" i="131"/>
  <c r="L1986" i="131"/>
  <c r="X1866" i="131"/>
  <c r="X1802" i="131"/>
  <c r="X1796" i="131"/>
  <c r="T1519" i="131"/>
  <c r="W1519" i="131"/>
  <c r="X1514" i="131"/>
  <c r="X1512" i="131"/>
  <c r="X1399" i="131"/>
  <c r="H1359" i="131"/>
  <c r="L1359" i="131" s="1"/>
  <c r="V1359" i="131"/>
  <c r="W1390" i="131"/>
  <c r="X1331" i="131"/>
  <c r="X1276" i="131"/>
  <c r="X1245" i="131"/>
  <c r="X1225" i="131"/>
  <c r="X1209" i="131"/>
  <c r="X1130" i="131"/>
  <c r="L1089" i="131"/>
  <c r="L1080" i="131"/>
  <c r="L1070" i="131"/>
  <c r="L1010" i="131"/>
  <c r="L1004" i="131"/>
  <c r="L943" i="131"/>
  <c r="L922" i="131"/>
  <c r="X842" i="131"/>
  <c r="L830" i="131"/>
  <c r="X820" i="131"/>
  <c r="L813" i="131"/>
  <c r="X800" i="131"/>
  <c r="X796" i="131"/>
  <c r="X767" i="131"/>
  <c r="X753" i="131"/>
  <c r="U2376" i="131"/>
  <c r="L703" i="131"/>
  <c r="L647" i="131"/>
  <c r="X577" i="131"/>
  <c r="X550" i="131"/>
  <c r="G477" i="131"/>
  <c r="G476" i="131" s="1"/>
  <c r="X391" i="131"/>
  <c r="X343" i="131"/>
  <c r="X337" i="131"/>
  <c r="X296" i="131"/>
  <c r="X272" i="131"/>
  <c r="X233" i="131"/>
  <c r="X209" i="131"/>
  <c r="X151" i="131"/>
  <c r="X144" i="131"/>
  <c r="X86" i="131"/>
  <c r="R2340" i="131"/>
  <c r="R2339" i="131" s="1"/>
  <c r="R2452" i="131" s="1"/>
  <c r="H421" i="131"/>
  <c r="I263" i="114" s="1"/>
  <c r="K1158" i="131"/>
  <c r="X2040" i="131"/>
  <c r="L2308" i="131"/>
  <c r="L2010" i="131"/>
  <c r="X1857" i="131"/>
  <c r="X1752" i="131"/>
  <c r="X1723" i="131"/>
  <c r="X1127" i="131"/>
  <c r="X850" i="131"/>
  <c r="X564" i="131"/>
  <c r="X243" i="131"/>
  <c r="X218" i="131"/>
  <c r="X135" i="131"/>
  <c r="L661" i="131"/>
  <c r="R1774" i="131"/>
  <c r="R1769" i="131" s="1"/>
  <c r="R1768" i="131" s="1"/>
  <c r="S2039" i="131"/>
  <c r="S2038" i="131" s="1"/>
  <c r="S2037" i="131" s="1"/>
  <c r="X1264" i="131"/>
  <c r="X1262" i="131"/>
  <c r="X1239" i="131"/>
  <c r="L1226" i="131"/>
  <c r="L1210" i="131"/>
  <c r="K934" i="131"/>
  <c r="M934" i="131" s="1"/>
  <c r="K928" i="131"/>
  <c r="M928" i="131" s="1"/>
  <c r="W919" i="131"/>
  <c r="T891" i="131"/>
  <c r="L882" i="131"/>
  <c r="X838" i="131"/>
  <c r="X702" i="131"/>
  <c r="X700" i="131"/>
  <c r="X698" i="131"/>
  <c r="G625" i="131"/>
  <c r="L351" i="131"/>
  <c r="L330" i="131"/>
  <c r="X275" i="131"/>
  <c r="K267" i="131"/>
  <c r="M267" i="131" s="1"/>
  <c r="X223" i="131"/>
  <c r="L222" i="131"/>
  <c r="X165" i="131"/>
  <c r="X157" i="131"/>
  <c r="X78" i="131"/>
  <c r="W879" i="131"/>
  <c r="R14" i="131"/>
  <c r="R13" i="131" s="1"/>
  <c r="R2408" i="131" s="1"/>
  <c r="R219" i="131"/>
  <c r="R211" i="131" s="1"/>
  <c r="R210" i="131" s="1"/>
  <c r="S238" i="131"/>
  <c r="W133" i="131"/>
  <c r="K155" i="131"/>
  <c r="M155" i="131" s="1"/>
  <c r="I212" i="131"/>
  <c r="K265" i="131"/>
  <c r="M265" i="131" s="1"/>
  <c r="K327" i="131"/>
  <c r="K342" i="131"/>
  <c r="M342" i="131" s="1"/>
  <c r="I402" i="131"/>
  <c r="K461" i="131"/>
  <c r="M461" i="131" s="1"/>
  <c r="T529" i="131"/>
  <c r="L570" i="131"/>
  <c r="L578" i="131"/>
  <c r="L591" i="131"/>
  <c r="L596" i="131"/>
  <c r="L605" i="131"/>
  <c r="L616" i="131"/>
  <c r="L626" i="131"/>
  <c r="L632" i="131"/>
  <c r="L636" i="131"/>
  <c r="L663" i="131"/>
  <c r="L697" i="131"/>
  <c r="L721" i="131"/>
  <c r="L730" i="131"/>
  <c r="L734" i="131"/>
  <c r="L752" i="131"/>
  <c r="J769" i="131"/>
  <c r="J768" i="131" s="1"/>
  <c r="L768" i="131" s="1"/>
  <c r="J791" i="131"/>
  <c r="L791" i="131" s="1"/>
  <c r="L919" i="131"/>
  <c r="L928" i="131"/>
  <c r="L934" i="131"/>
  <c r="L940" i="131"/>
  <c r="L946" i="131"/>
  <c r="J984" i="131"/>
  <c r="L991" i="131"/>
  <c r="L996" i="131"/>
  <c r="L1001" i="131"/>
  <c r="L1028" i="131"/>
  <c r="L1035" i="131"/>
  <c r="I1342" i="131"/>
  <c r="J310" i="114" s="1"/>
  <c r="L1474" i="131"/>
  <c r="L1545" i="131"/>
  <c r="K1592" i="131"/>
  <c r="M1592" i="131" s="1"/>
  <c r="I1609" i="131"/>
  <c r="W1609" i="131" s="1"/>
  <c r="I1619" i="131"/>
  <c r="I1618" i="131" s="1"/>
  <c r="I1629" i="131"/>
  <c r="I1628" i="131" s="1"/>
  <c r="I1627" i="131" s="1"/>
  <c r="J1710" i="131"/>
  <c r="J1704" i="131" s="1"/>
  <c r="J2413" i="131" s="1"/>
  <c r="F15" i="36" s="1"/>
  <c r="L2208" i="131"/>
  <c r="I2268" i="131"/>
  <c r="K2273" i="131"/>
  <c r="X2273" i="131" s="1"/>
  <c r="K2317" i="131"/>
  <c r="I2319" i="131"/>
  <c r="K2330" i="131"/>
  <c r="M2330" i="131" s="1"/>
  <c r="K2356" i="131"/>
  <c r="X166" i="131"/>
  <c r="L2466" i="131"/>
  <c r="K1675" i="131"/>
  <c r="M1675" i="131" s="1"/>
  <c r="K1363" i="131"/>
  <c r="M1363" i="131" s="1"/>
  <c r="T1028" i="131"/>
  <c r="T996" i="131"/>
  <c r="K946" i="131"/>
  <c r="M946" i="131" s="1"/>
  <c r="L893" i="131"/>
  <c r="L875" i="131"/>
  <c r="L864" i="131"/>
  <c r="T827" i="131"/>
  <c r="L785" i="131"/>
  <c r="K772" i="131"/>
  <c r="M772" i="131" s="1"/>
  <c r="L685" i="131"/>
  <c r="X495" i="131"/>
  <c r="L430" i="131"/>
  <c r="L292" i="131"/>
  <c r="L254" i="131"/>
  <c r="L241" i="131"/>
  <c r="W222" i="131"/>
  <c r="X107" i="131"/>
  <c r="X49" i="131"/>
  <c r="K305" i="131"/>
  <c r="H2319" i="131"/>
  <c r="J371" i="131"/>
  <c r="J376" i="131"/>
  <c r="J427" i="131"/>
  <c r="K266" i="114" s="1"/>
  <c r="K265" i="114" s="1"/>
  <c r="I769" i="131"/>
  <c r="I2039" i="131"/>
  <c r="I2195" i="131"/>
  <c r="I2213" i="131"/>
  <c r="L2086" i="131"/>
  <c r="H2085" i="131"/>
  <c r="L2085" i="131" s="1"/>
  <c r="H141" i="114"/>
  <c r="H140" i="114" s="1"/>
  <c r="H1413" i="131"/>
  <c r="L1414" i="131"/>
  <c r="U904" i="131"/>
  <c r="U903" i="131" s="1"/>
  <c r="U897" i="131" s="1"/>
  <c r="U886" i="131"/>
  <c r="U885" i="131" s="1"/>
  <c r="H877" i="131"/>
  <c r="H863" i="131" s="1"/>
  <c r="H2375" i="131"/>
  <c r="W864" i="131"/>
  <c r="K864" i="131"/>
  <c r="M864" i="131" s="1"/>
  <c r="T864" i="131"/>
  <c r="W706" i="131"/>
  <c r="K706" i="131"/>
  <c r="M706" i="131" s="1"/>
  <c r="K697" i="131"/>
  <c r="M697" i="131" s="1"/>
  <c r="K687" i="131"/>
  <c r="K634" i="131"/>
  <c r="M634" i="131" s="1"/>
  <c r="T634" i="131"/>
  <c r="W634" i="131"/>
  <c r="V569" i="131"/>
  <c r="H569" i="131"/>
  <c r="I78" i="114" s="1"/>
  <c r="I77" i="114" s="1"/>
  <c r="U536" i="131"/>
  <c r="U535" i="131" s="1"/>
  <c r="U534" i="131" s="1"/>
  <c r="I248" i="114"/>
  <c r="L396" i="131"/>
  <c r="H386" i="131"/>
  <c r="L387" i="131"/>
  <c r="G312" i="131"/>
  <c r="K312" i="131" s="1"/>
  <c r="M312" i="131" s="1"/>
  <c r="T313" i="131"/>
  <c r="W313" i="131"/>
  <c r="K313" i="131"/>
  <c r="S1985" i="131"/>
  <c r="H673" i="131"/>
  <c r="L673" i="131" s="1"/>
  <c r="L674" i="131"/>
  <c r="H2139" i="131"/>
  <c r="H2138" i="131" s="1"/>
  <c r="L2140" i="131"/>
  <c r="M199" i="114" s="1"/>
  <c r="M198" i="114" s="1"/>
  <c r="I199" i="114"/>
  <c r="I198" i="114" s="1"/>
  <c r="H1834" i="131"/>
  <c r="L1835" i="131"/>
  <c r="H955" i="131"/>
  <c r="L955" i="131" s="1"/>
  <c r="L956" i="131"/>
  <c r="H1299" i="131"/>
  <c r="H1289" i="131" s="1"/>
  <c r="L1300" i="131"/>
  <c r="F14" i="36"/>
  <c r="H2067" i="131"/>
  <c r="I170" i="114"/>
  <c r="T463" i="131"/>
  <c r="H427" i="131"/>
  <c r="W1208" i="131"/>
  <c r="W799" i="131"/>
  <c r="X799" i="131" s="1"/>
  <c r="K1208" i="131"/>
  <c r="M1208" i="131" s="1"/>
  <c r="L2087" i="131"/>
  <c r="K1935" i="131"/>
  <c r="K563" i="131"/>
  <c r="M563" i="131" s="1"/>
  <c r="H1189" i="131"/>
  <c r="L1189" i="131" s="1"/>
  <c r="H449" i="131"/>
  <c r="L449" i="131" s="1"/>
  <c r="J2089" i="131"/>
  <c r="W697" i="131"/>
  <c r="H2169" i="131"/>
  <c r="H2168" i="131" s="1"/>
  <c r="G1342" i="131"/>
  <c r="L2076" i="131"/>
  <c r="G562" i="131"/>
  <c r="W562" i="131" s="1"/>
  <c r="J290" i="114"/>
  <c r="J289" i="114" s="1"/>
  <c r="K1333" i="131"/>
  <c r="M1333" i="131" s="1"/>
  <c r="K349" i="114"/>
  <c r="K348" i="114" s="1"/>
  <c r="L397" i="131"/>
  <c r="K332" i="114"/>
  <c r="K331" i="114" s="1"/>
  <c r="K1390" i="131"/>
  <c r="T1390" i="131"/>
  <c r="G1349" i="131"/>
  <c r="W1349" i="131" s="1"/>
  <c r="K1350" i="131"/>
  <c r="M1350" i="131" s="1"/>
  <c r="W1350" i="131"/>
  <c r="H1176" i="131"/>
  <c r="L1177" i="131"/>
  <c r="T1128" i="131"/>
  <c r="W1128" i="131"/>
  <c r="V1108" i="131"/>
  <c r="V1107" i="131" s="1"/>
  <c r="V1102" i="131" s="1"/>
  <c r="W833" i="131"/>
  <c r="K833" i="131"/>
  <c r="M833" i="131" s="1"/>
  <c r="G780" i="131"/>
  <c r="K781" i="131"/>
  <c r="M781" i="131" s="1"/>
  <c r="G765" i="131"/>
  <c r="W766" i="131"/>
  <c r="U720" i="131"/>
  <c r="G692" i="131"/>
  <c r="K693" i="131"/>
  <c r="I294" i="114"/>
  <c r="H668" i="131"/>
  <c r="H517" i="131"/>
  <c r="L518" i="131"/>
  <c r="G491" i="131"/>
  <c r="G490" i="131" s="1"/>
  <c r="T494" i="131"/>
  <c r="W494" i="131"/>
  <c r="K494" i="131"/>
  <c r="M494" i="131" s="1"/>
  <c r="W430" i="131"/>
  <c r="T430" i="131"/>
  <c r="K430" i="131"/>
  <c r="M430" i="131" s="1"/>
  <c r="G427" i="131"/>
  <c r="L379" i="131"/>
  <c r="H376" i="131"/>
  <c r="G319" i="131"/>
  <c r="G318" i="131" s="1"/>
  <c r="K320" i="131"/>
  <c r="M320" i="131" s="1"/>
  <c r="W320" i="131"/>
  <c r="U2417" i="131"/>
  <c r="U2418" i="131" s="1"/>
  <c r="U278" i="131"/>
  <c r="H83" i="131"/>
  <c r="I64" i="114" s="1"/>
  <c r="I63" i="114" s="1"/>
  <c r="L84" i="131"/>
  <c r="I372" i="114"/>
  <c r="I371" i="114" s="1"/>
  <c r="I370" i="114" s="1"/>
  <c r="H1966" i="131"/>
  <c r="L1966" i="131" s="1"/>
  <c r="H1848" i="131"/>
  <c r="I229" i="114" s="1"/>
  <c r="I228" i="114" s="1"/>
  <c r="L1849" i="131"/>
  <c r="L1804" i="131"/>
  <c r="I1891" i="131"/>
  <c r="W1891" i="131" s="1"/>
  <c r="K1892" i="131"/>
  <c r="M1892" i="131" s="1"/>
  <c r="K1941" i="131"/>
  <c r="I1940" i="131"/>
  <c r="J359" i="114" s="1"/>
  <c r="J358" i="114" s="1"/>
  <c r="W1988" i="131"/>
  <c r="K1988" i="131"/>
  <c r="T1988" i="131"/>
  <c r="T2014" i="131"/>
  <c r="K2014" i="131"/>
  <c r="M2014" i="131" s="1"/>
  <c r="W2014" i="131"/>
  <c r="L2118" i="131"/>
  <c r="J2127" i="131"/>
  <c r="L2127" i="131" s="1"/>
  <c r="M340" i="114" s="1"/>
  <c r="M339" i="114" s="1"/>
  <c r="L2128" i="131"/>
  <c r="K27" i="114"/>
  <c r="W893" i="131"/>
  <c r="W463" i="131"/>
  <c r="J1971" i="131"/>
  <c r="L1943" i="131"/>
  <c r="J2039" i="131"/>
  <c r="K379" i="114" s="1"/>
  <c r="W563" i="131"/>
  <c r="H1553" i="131"/>
  <c r="K522" i="131"/>
  <c r="M522" i="131" s="1"/>
  <c r="J2025" i="131"/>
  <c r="I163" i="114"/>
  <c r="I162" i="114" s="1"/>
  <c r="K336" i="114"/>
  <c r="K335" i="114" s="1"/>
  <c r="L2117" i="131"/>
  <c r="M336" i="114" s="1"/>
  <c r="M335" i="114" s="1"/>
  <c r="G1283" i="131"/>
  <c r="G1282" i="131" s="1"/>
  <c r="G2412" i="131" s="1"/>
  <c r="C14" i="36" s="1"/>
  <c r="N14" i="36" s="1"/>
  <c r="L2112" i="131"/>
  <c r="H696" i="131"/>
  <c r="H695" i="131" s="1"/>
  <c r="H690" i="131" s="1"/>
  <c r="T580" i="131"/>
  <c r="K1128" i="131"/>
  <c r="M1128" i="131" s="1"/>
  <c r="L422" i="131"/>
  <c r="L421" i="131" s="1"/>
  <c r="L400" i="131"/>
  <c r="G631" i="131"/>
  <c r="W631" i="131" s="1"/>
  <c r="X574" i="131"/>
  <c r="V748" i="131"/>
  <c r="L1634" i="131"/>
  <c r="L432" i="131"/>
  <c r="W257" i="131"/>
  <c r="K257" i="131"/>
  <c r="M257" i="131" s="1"/>
  <c r="W506" i="131"/>
  <c r="L574" i="131"/>
  <c r="L582" i="131"/>
  <c r="L586" i="131"/>
  <c r="L600" i="131"/>
  <c r="L642" i="131"/>
  <c r="L659" i="131"/>
  <c r="L818" i="131"/>
  <c r="J812" i="131"/>
  <c r="J811" i="131" s="1"/>
  <c r="L839" i="131"/>
  <c r="L873" i="131"/>
  <c r="L879" i="131"/>
  <c r="I1299" i="131"/>
  <c r="J20" i="114" s="1"/>
  <c r="J19" i="114" s="1"/>
  <c r="K1300" i="131"/>
  <c r="M1300" i="131" s="1"/>
  <c r="J1553" i="131"/>
  <c r="L1558" i="131"/>
  <c r="K1570" i="131"/>
  <c r="W1570" i="131"/>
  <c r="T1570" i="131"/>
  <c r="I1648" i="131"/>
  <c r="K36" i="114"/>
  <c r="K1503" i="131"/>
  <c r="M1503" i="131" s="1"/>
  <c r="G1502" i="131"/>
  <c r="G2163" i="131"/>
  <c r="K2164" i="131"/>
  <c r="M2164" i="131" s="1"/>
  <c r="W2164" i="131"/>
  <c r="L2100" i="131"/>
  <c r="H2089" i="131"/>
  <c r="L2031" i="131"/>
  <c r="K2029" i="131"/>
  <c r="W2029" i="131"/>
  <c r="T2029" i="131"/>
  <c r="K1605" i="131"/>
  <c r="W1605" i="131"/>
  <c r="R1359" i="131"/>
  <c r="H2252" i="131"/>
  <c r="L2253" i="131"/>
  <c r="G1094" i="131"/>
  <c r="G1093" i="131" s="1"/>
  <c r="K1093" i="131" s="1"/>
  <c r="K1095" i="131"/>
  <c r="X828" i="131"/>
  <c r="X1129" i="131"/>
  <c r="X2274" i="131"/>
  <c r="L1948" i="131"/>
  <c r="M363" i="114" s="1"/>
  <c r="M362" i="114" s="1"/>
  <c r="L80" i="131"/>
  <c r="K418" i="131"/>
  <c r="G812" i="131"/>
  <c r="G811" i="131" s="1"/>
  <c r="I1971" i="131"/>
  <c r="J405" i="114" s="1"/>
  <c r="J404" i="114" s="1"/>
  <c r="G2106" i="131"/>
  <c r="H330" i="114" s="1"/>
  <c r="H329" i="114" s="1"/>
  <c r="K262" i="131"/>
  <c r="M262" i="131" s="1"/>
  <c r="I1985" i="131"/>
  <c r="L2196" i="131"/>
  <c r="N1774" i="131"/>
  <c r="N1769" i="131" s="1"/>
  <c r="N1768" i="131" s="1"/>
  <c r="L1760" i="131"/>
  <c r="K1655" i="131"/>
  <c r="M1655" i="131" s="1"/>
  <c r="L133" i="131"/>
  <c r="J435" i="131"/>
  <c r="K711" i="131"/>
  <c r="V2213" i="131"/>
  <c r="V2212" i="131" s="1"/>
  <c r="V2211" i="131" s="1"/>
  <c r="L2204" i="131"/>
  <c r="G2376" i="131"/>
  <c r="V2039" i="131"/>
  <c r="V2038" i="131" s="1"/>
  <c r="V2037" i="131" s="1"/>
  <c r="H2025" i="131"/>
  <c r="H2024" i="131" s="1"/>
  <c r="V2025" i="131"/>
  <c r="V2024" i="131" s="1"/>
  <c r="U1870" i="131"/>
  <c r="U1869" i="131" s="1"/>
  <c r="U2422" i="131" s="1"/>
  <c r="H1864" i="131"/>
  <c r="V1864" i="131"/>
  <c r="U1858" i="131"/>
  <c r="U1822" i="131" s="1"/>
  <c r="U1821" i="131" s="1"/>
  <c r="U2398" i="131" s="1"/>
  <c r="L1743" i="131"/>
  <c r="U1629" i="131"/>
  <c r="U1628" i="131" s="1"/>
  <c r="U1627" i="131" s="1"/>
  <c r="U2396" i="131" s="1"/>
  <c r="V1596" i="131"/>
  <c r="K1597" i="131"/>
  <c r="M1597" i="131" s="1"/>
  <c r="W1592" i="131"/>
  <c r="H1502" i="131"/>
  <c r="H1492" i="131"/>
  <c r="W1388" i="131"/>
  <c r="U1283" i="131"/>
  <c r="U1282" i="131" s="1"/>
  <c r="U2412" i="131" s="1"/>
  <c r="W1212" i="131"/>
  <c r="U1108" i="131"/>
  <c r="U1107" i="131" s="1"/>
  <c r="U1102" i="131" s="1"/>
  <c r="V696" i="131"/>
  <c r="V695" i="131" s="1"/>
  <c r="V690" i="131" s="1"/>
  <c r="V288" i="131"/>
  <c r="V287" i="131" s="1"/>
  <c r="V286" i="131" s="1"/>
  <c r="K33" i="131"/>
  <c r="M33" i="131" s="1"/>
  <c r="L1488" i="131"/>
  <c r="H555" i="131"/>
  <c r="S1222" i="131"/>
  <c r="S1221" i="131" s="1"/>
  <c r="S1220" i="131" s="1"/>
  <c r="S1234" i="131"/>
  <c r="S1233" i="131" s="1"/>
  <c r="S2407" i="131" s="1"/>
  <c r="R1410" i="131"/>
  <c r="R1409" i="131" s="1"/>
  <c r="R1433" i="131"/>
  <c r="R2390" i="131" s="1"/>
  <c r="R1465" i="131"/>
  <c r="R1473" i="131"/>
  <c r="R1472" i="131" s="1"/>
  <c r="S1492" i="131"/>
  <c r="S1491" i="131" s="1"/>
  <c r="S1490" i="131" s="1"/>
  <c r="S1502" i="131"/>
  <c r="S1497" i="131" s="1"/>
  <c r="S1553" i="131"/>
  <c r="S1563" i="131"/>
  <c r="S1562" i="131" s="1"/>
  <c r="S2448" i="131" s="1"/>
  <c r="S1609" i="131"/>
  <c r="S1608" i="131" s="1"/>
  <c r="S2454" i="131" s="1"/>
  <c r="S2455" i="131" s="1"/>
  <c r="S1619" i="131"/>
  <c r="S1618" i="131" s="1"/>
  <c r="R1629" i="131"/>
  <c r="R1628" i="131" s="1"/>
  <c r="R1627" i="131" s="1"/>
  <c r="R1710" i="131"/>
  <c r="R1704" i="131" s="1"/>
  <c r="R2413" i="131" s="1"/>
  <c r="R1740" i="131"/>
  <c r="R1739" i="131" s="1"/>
  <c r="R1738" i="131" s="1"/>
  <c r="R1737" i="131" s="1"/>
  <c r="R1724" i="131" s="1"/>
  <c r="R1814" i="131"/>
  <c r="R1813" i="131" s="1"/>
  <c r="R1858" i="131"/>
  <c r="R1872" i="131"/>
  <c r="R1871" i="131" s="1"/>
  <c r="R1870" i="131" s="1"/>
  <c r="R1869" i="131" s="1"/>
  <c r="R2422" i="131" s="1"/>
  <c r="K36" i="131"/>
  <c r="W51" i="131"/>
  <c r="K167" i="131"/>
  <c r="J2213" i="131"/>
  <c r="N1674" i="131"/>
  <c r="N1673" i="131" s="1"/>
  <c r="N1672" i="131" s="1"/>
  <c r="N1671" i="131" s="1"/>
  <c r="N1670" i="131" s="1"/>
  <c r="L2164" i="131"/>
  <c r="L1898" i="131"/>
  <c r="L1455" i="131"/>
  <c r="N749" i="131"/>
  <c r="N748" i="131" s="1"/>
  <c r="N747" i="131" s="1"/>
  <c r="N746" i="131" s="1"/>
  <c r="N745" i="131" s="1"/>
  <c r="G458" i="131"/>
  <c r="U435" i="131"/>
  <c r="U426" i="131" s="1"/>
  <c r="R612" i="131"/>
  <c r="S625" i="131"/>
  <c r="S658" i="131"/>
  <c r="S651" i="131" s="1"/>
  <c r="S696" i="131"/>
  <c r="S695" i="131" s="1"/>
  <c r="S690" i="131" s="1"/>
  <c r="S720" i="131"/>
  <c r="G1311" i="131"/>
  <c r="J1619" i="131"/>
  <c r="J1618" i="131" s="1"/>
  <c r="J1674" i="131"/>
  <c r="W1792" i="131"/>
  <c r="K1815" i="131"/>
  <c r="M1815" i="131" s="1"/>
  <c r="L1923" i="131"/>
  <c r="W2026" i="131"/>
  <c r="K2169" i="131"/>
  <c r="M2169" i="131" s="1"/>
  <c r="W2169" i="131"/>
  <c r="H990" i="131"/>
  <c r="L998" i="131"/>
  <c r="W913" i="131"/>
  <c r="K913" i="131"/>
  <c r="T913" i="131"/>
  <c r="U877" i="131"/>
  <c r="U863" i="131" s="1"/>
  <c r="U2375" i="131"/>
  <c r="S2376" i="131"/>
  <c r="S2195" i="131"/>
  <c r="I87" i="131"/>
  <c r="J66" i="114" s="1"/>
  <c r="J65" i="114" s="1"/>
  <c r="K88" i="131"/>
  <c r="I105" i="131"/>
  <c r="J299" i="114" s="1"/>
  <c r="K106" i="131"/>
  <c r="I119" i="131"/>
  <c r="J396" i="114" s="1"/>
  <c r="J395" i="114" s="1"/>
  <c r="K120" i="131"/>
  <c r="M120" i="131" s="1"/>
  <c r="I219" i="131"/>
  <c r="K220" i="131"/>
  <c r="M220" i="131" s="1"/>
  <c r="I315" i="131"/>
  <c r="T316" i="131"/>
  <c r="K316" i="131"/>
  <c r="K335" i="131"/>
  <c r="T335" i="131"/>
  <c r="W353" i="131"/>
  <c r="K353" i="131"/>
  <c r="T433" i="131"/>
  <c r="K433" i="131"/>
  <c r="I432" i="131"/>
  <c r="W432" i="131" s="1"/>
  <c r="W433" i="131"/>
  <c r="I455" i="131"/>
  <c r="W456" i="131"/>
  <c r="I477" i="131"/>
  <c r="I476" i="131" s="1"/>
  <c r="I475" i="131" s="1"/>
  <c r="K478" i="131"/>
  <c r="M478" i="131" s="1"/>
  <c r="W478" i="131"/>
  <c r="K499" i="131"/>
  <c r="M499" i="131" s="1"/>
  <c r="T499" i="131"/>
  <c r="W499" i="131"/>
  <c r="J807" i="131"/>
  <c r="L808" i="131"/>
  <c r="L861" i="131"/>
  <c r="J857" i="131"/>
  <c r="L913" i="131"/>
  <c r="J965" i="131"/>
  <c r="L969" i="131"/>
  <c r="I2245" i="131"/>
  <c r="K2246" i="131"/>
  <c r="I2284" i="131"/>
  <c r="I2283" i="131" s="1"/>
  <c r="I2282" i="131" s="1"/>
  <c r="I2447" i="131" s="1"/>
  <c r="E52" i="36" s="1"/>
  <c r="J127" i="114"/>
  <c r="J126" i="114" s="1"/>
  <c r="J125" i="114" s="1"/>
  <c r="I2304" i="131"/>
  <c r="I2303" i="131" s="1"/>
  <c r="W2305" i="131"/>
  <c r="K2305" i="131"/>
  <c r="J124" i="114"/>
  <c r="J123" i="114" s="1"/>
  <c r="J122" i="114" s="1"/>
  <c r="K2346" i="131"/>
  <c r="M2346" i="131" s="1"/>
  <c r="I2340" i="131"/>
  <c r="I2339" i="131" s="1"/>
  <c r="I2452" i="131" s="1"/>
  <c r="E58" i="36" s="1"/>
  <c r="M782" i="131"/>
  <c r="X782" i="131"/>
  <c r="M793" i="131"/>
  <c r="X793" i="131"/>
  <c r="M831" i="131"/>
  <c r="X831" i="131"/>
  <c r="M837" i="131"/>
  <c r="X837" i="131"/>
  <c r="M865" i="131"/>
  <c r="X865" i="131"/>
  <c r="X1131" i="131"/>
  <c r="M1131" i="131"/>
  <c r="M1211" i="131"/>
  <c r="X1211" i="131"/>
  <c r="M1366" i="131"/>
  <c r="X1366" i="131"/>
  <c r="M1368" i="131"/>
  <c r="X1368" i="131"/>
  <c r="M1633" i="131"/>
  <c r="X1633" i="131"/>
  <c r="M1680" i="131"/>
  <c r="X1680" i="131"/>
  <c r="M2030" i="131"/>
  <c r="X2030" i="131"/>
  <c r="H76" i="114"/>
  <c r="H75" i="114" s="1"/>
  <c r="K44" i="114"/>
  <c r="K43" i="114" s="1"/>
  <c r="K42" i="114" s="1"/>
  <c r="J1498" i="131"/>
  <c r="G2120" i="131"/>
  <c r="H338" i="114" s="1"/>
  <c r="H337" i="114" s="1"/>
  <c r="T478" i="131"/>
  <c r="M2221" i="131"/>
  <c r="M828" i="131"/>
  <c r="L961" i="131"/>
  <c r="U1018" i="131"/>
  <c r="U1032" i="131"/>
  <c r="U1031" i="131" s="1"/>
  <c r="V1018" i="131"/>
  <c r="V1017" i="131" s="1"/>
  <c r="V1016" i="131" s="1"/>
  <c r="K1012" i="131"/>
  <c r="T1012" i="131"/>
  <c r="I97" i="131"/>
  <c r="J72" i="114" s="1"/>
  <c r="J71" i="114" s="1"/>
  <c r="K98" i="131"/>
  <c r="J235" i="131"/>
  <c r="L236" i="131"/>
  <c r="K251" i="131"/>
  <c r="T251" i="131"/>
  <c r="W251" i="131"/>
  <c r="W308" i="131"/>
  <c r="K308" i="131"/>
  <c r="K372" i="131"/>
  <c r="M372" i="131" s="1"/>
  <c r="W372" i="131"/>
  <c r="I371" i="131"/>
  <c r="T371" i="131" s="1"/>
  <c r="T372" i="131"/>
  <c r="W377" i="131"/>
  <c r="K377" i="131"/>
  <c r="M377" i="131" s="1"/>
  <c r="I383" i="131"/>
  <c r="J239" i="114" s="1"/>
  <c r="J238" i="114" s="1"/>
  <c r="K384" i="131"/>
  <c r="M384" i="131" s="1"/>
  <c r="W384" i="131"/>
  <c r="I389" i="131"/>
  <c r="J243" i="114" s="1"/>
  <c r="L243" i="114" s="1"/>
  <c r="K390" i="131"/>
  <c r="M390" i="131" s="1"/>
  <c r="T408" i="131"/>
  <c r="K408" i="131"/>
  <c r="M408" i="131" s="1"/>
  <c r="I427" i="131"/>
  <c r="J266" i="114" s="1"/>
  <c r="J265" i="114" s="1"/>
  <c r="T428" i="131"/>
  <c r="K428" i="131"/>
  <c r="W428" i="131"/>
  <c r="I449" i="131"/>
  <c r="K449" i="131" s="1"/>
  <c r="K450" i="131"/>
  <c r="W450" i="131"/>
  <c r="I466" i="131"/>
  <c r="W466" i="131" s="1"/>
  <c r="T467" i="131"/>
  <c r="K467" i="131"/>
  <c r="M467" i="131" s="1"/>
  <c r="W467" i="131"/>
  <c r="W492" i="131"/>
  <c r="T492" i="131"/>
  <c r="K492" i="131"/>
  <c r="M492" i="131" s="1"/>
  <c r="I491" i="131"/>
  <c r="I511" i="131"/>
  <c r="J305" i="114" s="1"/>
  <c r="K512" i="131"/>
  <c r="M512" i="131" s="1"/>
  <c r="W512" i="131"/>
  <c r="T512" i="131"/>
  <c r="T522" i="131"/>
  <c r="W522" i="131"/>
  <c r="J652" i="131"/>
  <c r="L653" i="131"/>
  <c r="J669" i="131"/>
  <c r="J668" i="131" s="1"/>
  <c r="L670" i="131"/>
  <c r="J765" i="131"/>
  <c r="L765" i="131" s="1"/>
  <c r="L766" i="131"/>
  <c r="L783" i="131"/>
  <c r="J780" i="131"/>
  <c r="L905" i="131"/>
  <c r="J2375" i="131"/>
  <c r="J990" i="131"/>
  <c r="L1012" i="131"/>
  <c r="J2237" i="131"/>
  <c r="L2238" i="131"/>
  <c r="W2277" i="131"/>
  <c r="K2277" i="131"/>
  <c r="M2277" i="131" s="1"/>
  <c r="J2297" i="131"/>
  <c r="K115" i="114" s="1"/>
  <c r="M115" i="114" s="1"/>
  <c r="L2298" i="131"/>
  <c r="W2310" i="131"/>
  <c r="W2334" i="131"/>
  <c r="I2327" i="131"/>
  <c r="I2326" i="131" s="1"/>
  <c r="I2325" i="131" s="1"/>
  <c r="I2324" i="131" s="1"/>
  <c r="E57" i="36" s="1"/>
  <c r="K2334" i="131"/>
  <c r="X134" i="131"/>
  <c r="M134" i="131"/>
  <c r="M146" i="131"/>
  <c r="X146" i="131"/>
  <c r="M158" i="131"/>
  <c r="X158" i="131"/>
  <c r="M775" i="131"/>
  <c r="X775" i="131"/>
  <c r="M786" i="131"/>
  <c r="X786" i="131"/>
  <c r="M798" i="131"/>
  <c r="X798" i="131"/>
  <c r="M819" i="131"/>
  <c r="X819" i="131"/>
  <c r="M834" i="131"/>
  <c r="X834" i="131"/>
  <c r="M840" i="131"/>
  <c r="X840" i="131"/>
  <c r="M1188" i="131"/>
  <c r="X1188" i="131"/>
  <c r="M1227" i="131"/>
  <c r="X1227" i="131"/>
  <c r="M1240" i="131"/>
  <c r="X1240" i="131"/>
  <c r="M1452" i="131"/>
  <c r="X1452" i="131"/>
  <c r="M1593" i="131"/>
  <c r="X1593" i="131"/>
  <c r="M1626" i="131"/>
  <c r="X1626" i="131"/>
  <c r="M1664" i="131"/>
  <c r="X1664" i="131"/>
  <c r="M1678" i="131"/>
  <c r="X1678" i="131"/>
  <c r="M2020" i="131"/>
  <c r="X2020" i="131"/>
  <c r="M2034" i="131"/>
  <c r="X2034" i="131"/>
  <c r="M2270" i="131"/>
  <c r="X2270" i="131"/>
  <c r="M2278" i="131"/>
  <c r="X2278" i="131"/>
  <c r="K295" i="114"/>
  <c r="I292" i="114"/>
  <c r="I291" i="114" s="1"/>
  <c r="K2127" i="131"/>
  <c r="L340" i="114" s="1"/>
  <c r="L339" i="114" s="1"/>
  <c r="T889" i="131"/>
  <c r="G1076" i="131"/>
  <c r="W2269" i="131"/>
  <c r="X2269" i="131" s="1"/>
  <c r="X1660" i="131"/>
  <c r="W390" i="131"/>
  <c r="W2170" i="131"/>
  <c r="M2269" i="131"/>
  <c r="T265" i="131"/>
  <c r="G886" i="131"/>
  <c r="G885" i="131" s="1"/>
  <c r="M2274" i="131"/>
  <c r="X1269" i="131"/>
  <c r="W220" i="131"/>
  <c r="G2375" i="131"/>
  <c r="I396" i="114"/>
  <c r="I395" i="114" s="1"/>
  <c r="T450" i="131"/>
  <c r="I25" i="114"/>
  <c r="L643" i="131"/>
  <c r="L637" i="131"/>
  <c r="I326" i="131"/>
  <c r="I497" i="131"/>
  <c r="K498" i="131"/>
  <c r="M498" i="131" s="1"/>
  <c r="H234" i="131"/>
  <c r="H1066" i="131"/>
  <c r="H1065" i="131" s="1"/>
  <c r="H1064" i="131" s="1"/>
  <c r="H1063" i="131" s="1"/>
  <c r="H1058" i="131"/>
  <c r="L1059" i="131"/>
  <c r="I228" i="131"/>
  <c r="I227" i="131" s="1"/>
  <c r="T229" i="131"/>
  <c r="K229" i="131"/>
  <c r="M229" i="131" s="1"/>
  <c r="W229" i="131"/>
  <c r="K414" i="131"/>
  <c r="M414" i="131" s="1"/>
  <c r="I413" i="131"/>
  <c r="T413" i="131" s="1"/>
  <c r="T414" i="131"/>
  <c r="W414" i="131"/>
  <c r="T438" i="131"/>
  <c r="W438" i="131"/>
  <c r="K438" i="131"/>
  <c r="W461" i="131"/>
  <c r="T461" i="131"/>
  <c r="W482" i="131"/>
  <c r="T482" i="131"/>
  <c r="I505" i="131"/>
  <c r="T505" i="131" s="1"/>
  <c r="T506" i="131"/>
  <c r="K506" i="131"/>
  <c r="T518" i="131"/>
  <c r="K518" i="131"/>
  <c r="M518" i="131" s="1"/>
  <c r="I517" i="131"/>
  <c r="W518" i="131"/>
  <c r="I556" i="131"/>
  <c r="K557" i="131"/>
  <c r="J759" i="131"/>
  <c r="L759" i="131" s="1"/>
  <c r="L760" i="131"/>
  <c r="J777" i="131"/>
  <c r="L778" i="131"/>
  <c r="J848" i="131"/>
  <c r="L849" i="131"/>
  <c r="L887" i="131"/>
  <c r="J886" i="131"/>
  <c r="J952" i="131"/>
  <c r="L952" i="131" s="1"/>
  <c r="L953" i="131"/>
  <c r="J975" i="131"/>
  <c r="K182" i="114" s="1"/>
  <c r="L976" i="131"/>
  <c r="L1022" i="131"/>
  <c r="J1018" i="131"/>
  <c r="K168" i="114" s="1"/>
  <c r="K167" i="114" s="1"/>
  <c r="W265" i="131"/>
  <c r="I376" i="131"/>
  <c r="K2170" i="131"/>
  <c r="I2316" i="131"/>
  <c r="L1036" i="131"/>
  <c r="M1129" i="131"/>
  <c r="V2375" i="131"/>
  <c r="K2310" i="131"/>
  <c r="M2310" i="131" s="1"/>
  <c r="K22" i="114"/>
  <c r="K21" i="114" s="1"/>
  <c r="L1303" i="131"/>
  <c r="X1613" i="131"/>
  <c r="X1602" i="131"/>
  <c r="X1606" i="131"/>
  <c r="L2285" i="131"/>
  <c r="I127" i="114"/>
  <c r="I126" i="114" s="1"/>
  <c r="I125" i="114" s="1"/>
  <c r="L113" i="131"/>
  <c r="K250" i="114"/>
  <c r="K249" i="114" s="1"/>
  <c r="I201" i="114"/>
  <c r="I200" i="114" s="1"/>
  <c r="L2142" i="131"/>
  <c r="L794" i="131"/>
  <c r="M1807" i="131"/>
  <c r="W1624" i="131"/>
  <c r="W2308" i="131"/>
  <c r="K2308" i="131"/>
  <c r="G960" i="131"/>
  <c r="K961" i="131"/>
  <c r="W1461" i="131"/>
  <c r="K1461" i="131"/>
  <c r="M1461" i="131" s="1"/>
  <c r="L2356" i="131"/>
  <c r="H2340" i="131"/>
  <c r="H2339" i="131" s="1"/>
  <c r="H2452" i="131" s="1"/>
  <c r="D58" i="36" s="1"/>
  <c r="X2307" i="131"/>
  <c r="K2241" i="131"/>
  <c r="M2241" i="131" s="1"/>
  <c r="G2240" i="131"/>
  <c r="H138" i="114" s="1"/>
  <c r="K2196" i="131"/>
  <c r="M2196" i="131" s="1"/>
  <c r="W2196" i="131"/>
  <c r="G2187" i="131"/>
  <c r="G2180" i="131" s="1"/>
  <c r="K2188" i="131"/>
  <c r="M2188" i="131" s="1"/>
  <c r="L2178" i="131"/>
  <c r="H2177" i="131"/>
  <c r="K2096" i="131"/>
  <c r="W2096" i="131"/>
  <c r="W2010" i="131"/>
  <c r="K2010" i="131"/>
  <c r="M2010" i="131" s="1"/>
  <c r="W1994" i="131"/>
  <c r="K1994" i="131"/>
  <c r="T1983" i="131"/>
  <c r="W1983" i="131"/>
  <c r="G1854" i="131"/>
  <c r="W1854" i="131" s="1"/>
  <c r="K1855" i="131"/>
  <c r="W1855" i="131"/>
  <c r="U1814" i="131"/>
  <c r="U1813" i="131" s="1"/>
  <c r="W1741" i="131"/>
  <c r="K1715" i="131"/>
  <c r="M1715" i="131" s="1"/>
  <c r="T1715" i="131"/>
  <c r="W1697" i="131"/>
  <c r="K1697" i="131"/>
  <c r="M1697" i="131" s="1"/>
  <c r="H1645" i="131"/>
  <c r="H1644" i="131" s="1"/>
  <c r="L1644" i="131" s="1"/>
  <c r="L1646" i="131"/>
  <c r="X1639" i="131"/>
  <c r="W1622" i="131"/>
  <c r="G1619" i="131"/>
  <c r="G1618" i="131" s="1"/>
  <c r="L1612" i="131"/>
  <c r="H1609" i="131"/>
  <c r="H1608" i="131" s="1"/>
  <c r="X1598" i="131"/>
  <c r="H1538" i="131"/>
  <c r="H1537" i="131" s="1"/>
  <c r="H1536" i="131" s="1"/>
  <c r="L1541" i="131"/>
  <c r="V1538" i="131"/>
  <c r="V1537" i="131" s="1"/>
  <c r="V1536" i="131" s="1"/>
  <c r="G1532" i="131"/>
  <c r="I150" i="114"/>
  <c r="I149" i="114" s="1"/>
  <c r="I148" i="114" s="1"/>
  <c r="O148" i="114" s="1"/>
  <c r="K1517" i="131"/>
  <c r="X1517" i="131" s="1"/>
  <c r="G1516" i="131"/>
  <c r="T1517" i="131"/>
  <c r="K1474" i="131"/>
  <c r="G1473" i="131"/>
  <c r="U1359" i="131"/>
  <c r="G1293" i="131"/>
  <c r="K1294" i="131"/>
  <c r="M1294" i="131" s="1"/>
  <c r="X1181" i="131"/>
  <c r="K321" i="114"/>
  <c r="L2075" i="131"/>
  <c r="L1434" i="131"/>
  <c r="K183" i="114"/>
  <c r="M183" i="114" s="1"/>
  <c r="I231" i="114"/>
  <c r="I230" i="114" s="1"/>
  <c r="K225" i="114"/>
  <c r="K224" i="114" s="1"/>
  <c r="J2145" i="131"/>
  <c r="L2146" i="131"/>
  <c r="X2215" i="131"/>
  <c r="L405" i="131"/>
  <c r="H402" i="131"/>
  <c r="G315" i="131"/>
  <c r="W316" i="131"/>
  <c r="K133" i="131"/>
  <c r="G1317" i="131"/>
  <c r="K1318" i="131"/>
  <c r="G1919" i="131"/>
  <c r="H347" i="114" s="1"/>
  <c r="H346" i="114" s="1"/>
  <c r="G2313" i="131"/>
  <c r="K2314" i="131"/>
  <c r="S2089" i="131"/>
  <c r="L79" i="131"/>
  <c r="M62" i="114" s="1"/>
  <c r="M61" i="114" s="1"/>
  <c r="M260" i="114"/>
  <c r="K2073" i="131"/>
  <c r="X2219" i="131"/>
  <c r="X2230" i="131"/>
  <c r="X2207" i="131"/>
  <c r="L417" i="131"/>
  <c r="K403" i="114"/>
  <c r="H1076" i="131"/>
  <c r="W1019" i="131"/>
  <c r="T1019" i="131"/>
  <c r="L833" i="131"/>
  <c r="X802" i="131"/>
  <c r="K801" i="131"/>
  <c r="W801" i="131"/>
  <c r="L799" i="131"/>
  <c r="H780" i="131"/>
  <c r="H776" i="131" s="1"/>
  <c r="L494" i="131"/>
  <c r="H491" i="131"/>
  <c r="H490" i="131" s="1"/>
  <c r="K403" i="131"/>
  <c r="M403" i="131" s="1"/>
  <c r="H219" i="131"/>
  <c r="G196" i="131"/>
  <c r="G189" i="131" s="1"/>
  <c r="K197" i="131"/>
  <c r="M197" i="131" s="1"/>
  <c r="X160" i="131"/>
  <c r="X156" i="131"/>
  <c r="W155" i="131"/>
  <c r="K145" i="131"/>
  <c r="M145" i="131" s="1"/>
  <c r="W145" i="131"/>
  <c r="S2375" i="131"/>
  <c r="R886" i="131"/>
  <c r="R885" i="131" s="1"/>
  <c r="G1299" i="131"/>
  <c r="H1840" i="131"/>
  <c r="I225" i="114" s="1"/>
  <c r="I224" i="114" s="1"/>
  <c r="L1841" i="131"/>
  <c r="T1059" i="131"/>
  <c r="K1059" i="131"/>
  <c r="M1059" i="131" s="1"/>
  <c r="K1067" i="131"/>
  <c r="T1067" i="131"/>
  <c r="I1066" i="131"/>
  <c r="W1077" i="131"/>
  <c r="T1077" i="131"/>
  <c r="L1260" i="131"/>
  <c r="J1329" i="131"/>
  <c r="L1330" i="131"/>
  <c r="K1451" i="131"/>
  <c r="M1451" i="131" s="1"/>
  <c r="L1590" i="131"/>
  <c r="J1596" i="131"/>
  <c r="L1596" i="131" s="1"/>
  <c r="L1603" i="131"/>
  <c r="X2167" i="131"/>
  <c r="X2027" i="131"/>
  <c r="X2022" i="131"/>
  <c r="L1675" i="131"/>
  <c r="L1653" i="131"/>
  <c r="X1534" i="131"/>
  <c r="W1505" i="131"/>
  <c r="X1505" i="131" s="1"/>
  <c r="X1456" i="131"/>
  <c r="L1343" i="131"/>
  <c r="W254" i="131"/>
  <c r="T254" i="131"/>
  <c r="X136" i="131"/>
  <c r="X843" i="131"/>
  <c r="L772" i="131"/>
  <c r="T732" i="131"/>
  <c r="W732" i="131"/>
  <c r="U376" i="131"/>
  <c r="W106" i="131"/>
  <c r="X31" i="131"/>
  <c r="K1787" i="131"/>
  <c r="K1873" i="131"/>
  <c r="M1873" i="131" s="1"/>
  <c r="S112" i="131"/>
  <c r="R2138" i="131"/>
  <c r="R2393" i="131" s="1"/>
  <c r="T1503" i="131"/>
  <c r="W1503" i="131"/>
  <c r="J2106" i="131"/>
  <c r="K330" i="114" s="1"/>
  <c r="K329" i="114" s="1"/>
  <c r="L2275" i="131"/>
  <c r="L2206" i="131"/>
  <c r="X2097" i="131"/>
  <c r="L2008" i="131"/>
  <c r="V1890" i="131"/>
  <c r="V2388" i="131" s="1"/>
  <c r="L1795" i="131"/>
  <c r="X1791" i="131"/>
  <c r="X1766" i="131"/>
  <c r="L1745" i="131"/>
  <c r="X1716" i="131"/>
  <c r="L1657" i="131"/>
  <c r="V1609" i="131"/>
  <c r="V1608" i="131" s="1"/>
  <c r="V2454" i="131" s="1"/>
  <c r="V2455" i="131" s="1"/>
  <c r="L1599" i="131"/>
  <c r="N1482" i="131"/>
  <c r="K1455" i="131"/>
  <c r="M1455" i="131" s="1"/>
  <c r="L1397" i="131"/>
  <c r="X1287" i="131"/>
  <c r="V1175" i="131"/>
  <c r="L1143" i="131"/>
  <c r="W1125" i="131"/>
  <c r="W1067" i="131"/>
  <c r="W1059" i="131"/>
  <c r="W1004" i="131"/>
  <c r="L895" i="131"/>
  <c r="L891" i="131"/>
  <c r="W785" i="131"/>
  <c r="L726" i="131"/>
  <c r="L706" i="131"/>
  <c r="L687" i="131"/>
  <c r="X635" i="131"/>
  <c r="U219" i="131"/>
  <c r="U211" i="131" s="1"/>
  <c r="U210" i="131" s="1"/>
  <c r="L164" i="131"/>
  <c r="X143" i="131"/>
  <c r="K140" i="131"/>
  <c r="M140" i="131" s="1"/>
  <c r="L27" i="131"/>
  <c r="K1044" i="131"/>
  <c r="L1164" i="131"/>
  <c r="K2322" i="131"/>
  <c r="H1048" i="131"/>
  <c r="K1380" i="131"/>
  <c r="K628" i="131"/>
  <c r="R517" i="131"/>
  <c r="R489" i="131" s="1"/>
  <c r="R488" i="131" s="1"/>
  <c r="R555" i="131"/>
  <c r="R1586" i="131"/>
  <c r="R1585" i="131" s="1"/>
  <c r="R1584" i="131" s="1"/>
  <c r="R1619" i="131"/>
  <c r="R1618" i="131" s="1"/>
  <c r="L36" i="131"/>
  <c r="J749" i="131"/>
  <c r="J1538" i="131"/>
  <c r="K1143" i="131"/>
  <c r="W2346" i="131"/>
  <c r="L2304" i="131"/>
  <c r="X2102" i="131"/>
  <c r="L2096" i="131"/>
  <c r="L1758" i="131"/>
  <c r="L1749" i="131"/>
  <c r="L1741" i="131"/>
  <c r="L1715" i="131"/>
  <c r="K1713" i="131"/>
  <c r="M1713" i="131" s="1"/>
  <c r="X1668" i="131"/>
  <c r="L1622" i="131"/>
  <c r="W1599" i="131"/>
  <c r="L1594" i="131"/>
  <c r="L1564" i="131"/>
  <c r="L1539" i="131"/>
  <c r="L1407" i="131"/>
  <c r="L1214" i="131"/>
  <c r="L1134" i="131"/>
  <c r="L1007" i="131"/>
  <c r="L868" i="131"/>
  <c r="L795" i="131"/>
  <c r="T750" i="131"/>
  <c r="W728" i="131"/>
  <c r="X589" i="131"/>
  <c r="X460" i="131"/>
  <c r="T377" i="131"/>
  <c r="W335" i="131"/>
  <c r="L145" i="131"/>
  <c r="U43" i="131"/>
  <c r="U42" i="131" s="1"/>
  <c r="K1164" i="131"/>
  <c r="L1380" i="131"/>
  <c r="R189" i="131"/>
  <c r="R180" i="131" s="1"/>
  <c r="R382" i="131"/>
  <c r="S780" i="131"/>
  <c r="S776" i="131" s="1"/>
  <c r="S791" i="131"/>
  <c r="S857" i="131"/>
  <c r="S856" i="131" s="1"/>
  <c r="S886" i="131"/>
  <c r="S885" i="131" s="1"/>
  <c r="R1108" i="131"/>
  <c r="R1107" i="131" s="1"/>
  <c r="R1102" i="131" s="1"/>
  <c r="R1152" i="131"/>
  <c r="R1163" i="131"/>
  <c r="S2163" i="131"/>
  <c r="S2137" i="131" s="1"/>
  <c r="S2136" i="131" s="1"/>
  <c r="S2180" i="131"/>
  <c r="S2393" i="131" s="1"/>
  <c r="L985" i="131"/>
  <c r="J1157" i="131"/>
  <c r="H40" i="114"/>
  <c r="K1168" i="131"/>
  <c r="K275" i="114"/>
  <c r="K274" i="114" s="1"/>
  <c r="K273" i="114" s="1"/>
  <c r="J443" i="131"/>
  <c r="J2067" i="131"/>
  <c r="U2138" i="131"/>
  <c r="U238" i="131"/>
  <c r="V189" i="131"/>
  <c r="V180" i="131" s="1"/>
  <c r="U2377" i="131"/>
  <c r="R990" i="131"/>
  <c r="R2370" i="131"/>
  <c r="R1450" i="131"/>
  <c r="S2371" i="131"/>
  <c r="R1648" i="131"/>
  <c r="L728" i="131"/>
  <c r="J720" i="131"/>
  <c r="L1955" i="131"/>
  <c r="M365" i="114" s="1"/>
  <c r="M364" i="114" s="1"/>
  <c r="G1971" i="131"/>
  <c r="G1970" i="131" s="1"/>
  <c r="H2120" i="131"/>
  <c r="I338" i="114" s="1"/>
  <c r="I337" i="114" s="1"/>
  <c r="U2268" i="131"/>
  <c r="U2267" i="131" s="1"/>
  <c r="U2266" i="131" s="1"/>
  <c r="U2265" i="131" s="1"/>
  <c r="U2264" i="131" s="1"/>
  <c r="V371" i="131"/>
  <c r="V370" i="131" s="1"/>
  <c r="V366" i="131" s="1"/>
  <c r="V365" i="131" s="1"/>
  <c r="S1066" i="131"/>
  <c r="S1065" i="131" s="1"/>
  <c r="S1064" i="131" s="1"/>
  <c r="S1063" i="131" s="1"/>
  <c r="R1485" i="131"/>
  <c r="R1484" i="131" s="1"/>
  <c r="R1483" i="131" s="1"/>
  <c r="R1492" i="131"/>
  <c r="R1491" i="131" s="1"/>
  <c r="R1490" i="131" s="1"/>
  <c r="K663" i="131"/>
  <c r="J696" i="131"/>
  <c r="U395" i="131"/>
  <c r="U2327" i="131"/>
  <c r="U2326" i="131" s="1"/>
  <c r="U2325" i="131" s="1"/>
  <c r="U2324" i="131" s="1"/>
  <c r="U2451" i="131" s="1"/>
  <c r="V1985" i="131"/>
  <c r="U1596" i="131"/>
  <c r="U1583" i="131" s="1"/>
  <c r="U1582" i="131" s="1"/>
  <c r="X1504" i="131"/>
  <c r="N2427" i="131"/>
  <c r="N2430" i="131" s="1"/>
  <c r="V477" i="131"/>
  <c r="V476" i="131" s="1"/>
  <c r="V475" i="131" s="1"/>
  <c r="N43" i="131"/>
  <c r="N42" i="131" s="1"/>
  <c r="S376" i="131"/>
  <c r="S2319" i="131"/>
  <c r="S2340" i="131"/>
  <c r="S2339" i="131" s="1"/>
  <c r="S2452" i="131" s="1"/>
  <c r="L2344" i="131"/>
  <c r="K1183" i="131"/>
  <c r="M1183" i="131" s="1"/>
  <c r="K824" i="131"/>
  <c r="L1419" i="131"/>
  <c r="L2068" i="131"/>
  <c r="U1740" i="131"/>
  <c r="U1739" i="131" s="1"/>
  <c r="U1738" i="131" s="1"/>
  <c r="U1737" i="131" s="1"/>
  <c r="V1629" i="131"/>
  <c r="V1628" i="131" s="1"/>
  <c r="V1627" i="131" s="1"/>
  <c r="V2396" i="131" s="1"/>
  <c r="S1872" i="131"/>
  <c r="S1871" i="131" s="1"/>
  <c r="S1870" i="131" s="1"/>
  <c r="S1869" i="131" s="1"/>
  <c r="S2422" i="131" s="1"/>
  <c r="I791" i="131"/>
  <c r="T797" i="131"/>
  <c r="I1732" i="131"/>
  <c r="W940" i="131"/>
  <c r="T940" i="131"/>
  <c r="G234" i="131"/>
  <c r="T1667" i="131"/>
  <c r="K1667" i="131"/>
  <c r="W1667" i="131"/>
  <c r="K1659" i="131"/>
  <c r="T1659" i="131"/>
  <c r="W1659" i="131"/>
  <c r="G1637" i="131"/>
  <c r="W1638" i="131"/>
  <c r="W295" i="131"/>
  <c r="V238" i="131"/>
  <c r="K214" i="131"/>
  <c r="M214" i="131" s="1"/>
  <c r="G213" i="131"/>
  <c r="G177" i="131"/>
  <c r="K177" i="131" s="1"/>
  <c r="K178" i="131"/>
  <c r="M178" i="131" s="1"/>
  <c r="W150" i="131"/>
  <c r="K150" i="131"/>
  <c r="H123" i="131"/>
  <c r="L124" i="131"/>
  <c r="V43" i="131"/>
  <c r="V42" i="131" s="1"/>
  <c r="K47" i="131"/>
  <c r="T47" i="131"/>
  <c r="K27" i="131"/>
  <c r="M27" i="131" s="1"/>
  <c r="T27" i="131"/>
  <c r="U14" i="131"/>
  <c r="U13" i="131" s="1"/>
  <c r="U2369" i="131"/>
  <c r="K613" i="131"/>
  <c r="G658" i="131"/>
  <c r="H34" i="114" s="1"/>
  <c r="K659" i="131"/>
  <c r="H655" i="131"/>
  <c r="L656" i="131"/>
  <c r="K976" i="131"/>
  <c r="G975" i="131"/>
  <c r="K975" i="131" s="1"/>
  <c r="K1377" i="131"/>
  <c r="T1377" i="131"/>
  <c r="H187" i="114"/>
  <c r="H186" i="114" s="1"/>
  <c r="K2090" i="131"/>
  <c r="G2089" i="131"/>
  <c r="H2336" i="131"/>
  <c r="L2336" i="131" s="1"/>
  <c r="L2337" i="131"/>
  <c r="S538" i="131"/>
  <c r="S537" i="131" s="1"/>
  <c r="S536" i="131" s="1"/>
  <c r="S812" i="131"/>
  <c r="S811" i="131" s="1"/>
  <c r="S810" i="131" s="1"/>
  <c r="S2370" i="131"/>
  <c r="R1076" i="131"/>
  <c r="R1075" i="131" s="1"/>
  <c r="R1074" i="131" s="1"/>
  <c r="R1073" i="131" s="1"/>
  <c r="R1674" i="131"/>
  <c r="R1673" i="131" s="1"/>
  <c r="R1672" i="131" s="1"/>
  <c r="I2249" i="131"/>
  <c r="K2250" i="131"/>
  <c r="M2032" i="131"/>
  <c r="X2032" i="131"/>
  <c r="G2168" i="131"/>
  <c r="L732" i="131"/>
  <c r="W27" i="131"/>
  <c r="H1152" i="131"/>
  <c r="H196" i="114"/>
  <c r="H195" i="114" s="1"/>
  <c r="H194" i="114" s="1"/>
  <c r="N194" i="114" s="1"/>
  <c r="K940" i="131"/>
  <c r="M940" i="131" s="1"/>
  <c r="I41" i="114"/>
  <c r="J319" i="114"/>
  <c r="K2072" i="131"/>
  <c r="I279" i="131"/>
  <c r="I286" i="114"/>
  <c r="G1171" i="131"/>
  <c r="K1172" i="131"/>
  <c r="K313" i="114"/>
  <c r="K312" i="114" s="1"/>
  <c r="K2017" i="131"/>
  <c r="T2017" i="131"/>
  <c r="G965" i="131"/>
  <c r="K969" i="131"/>
  <c r="H1891" i="131"/>
  <c r="L1891" i="131" s="1"/>
  <c r="L1892" i="131"/>
  <c r="K1865" i="131"/>
  <c r="M1865" i="131" s="1"/>
  <c r="G1864" i="131"/>
  <c r="W1865" i="131"/>
  <c r="T1865" i="131"/>
  <c r="G1858" i="131"/>
  <c r="K1862" i="131"/>
  <c r="M1862" i="131" s="1"/>
  <c r="L1677" i="131"/>
  <c r="H1674" i="131"/>
  <c r="H1673" i="131" s="1"/>
  <c r="W281" i="131"/>
  <c r="G280" i="131"/>
  <c r="T280" i="131" s="1"/>
  <c r="T281" i="131"/>
  <c r="K281" i="131"/>
  <c r="N238" i="131"/>
  <c r="L948" i="131"/>
  <c r="R2377" i="131"/>
  <c r="J717" i="131"/>
  <c r="L717" i="131" s="1"/>
  <c r="L718" i="131"/>
  <c r="J2376" i="131"/>
  <c r="L736" i="131"/>
  <c r="G1104" i="131"/>
  <c r="K1105" i="131"/>
  <c r="M1105" i="131" s="1"/>
  <c r="H1098" i="131"/>
  <c r="I17" i="114"/>
  <c r="R2375" i="131"/>
  <c r="S863" i="131"/>
  <c r="H303" i="114"/>
  <c r="I2359" i="131"/>
  <c r="L560" i="131"/>
  <c r="L1931" i="131"/>
  <c r="K353" i="114"/>
  <c r="K352" i="114" s="1"/>
  <c r="I205" i="131"/>
  <c r="I201" i="131" s="1"/>
  <c r="I200" i="131" s="1"/>
  <c r="I199" i="131" s="1"/>
  <c r="L1312" i="131"/>
  <c r="H1311" i="131"/>
  <c r="W1632" i="131"/>
  <c r="G1629" i="131"/>
  <c r="K1632" i="131"/>
  <c r="M1632" i="131" s="1"/>
  <c r="T1632" i="131"/>
  <c r="I278" i="114"/>
  <c r="I277" i="114" s="1"/>
  <c r="H2371" i="131"/>
  <c r="L273" i="131"/>
  <c r="Q242" i="131"/>
  <c r="W269" i="131"/>
  <c r="K269" i="131"/>
  <c r="M269" i="131" s="1"/>
  <c r="H231" i="131"/>
  <c r="L231" i="131" s="1"/>
  <c r="L232" i="131"/>
  <c r="T222" i="131"/>
  <c r="K222" i="131"/>
  <c r="G219" i="131"/>
  <c r="K84" i="131"/>
  <c r="M84" i="131" s="1"/>
  <c r="G83" i="131"/>
  <c r="K67" i="131"/>
  <c r="M67" i="131" s="1"/>
  <c r="G66" i="131"/>
  <c r="W67" i="131"/>
  <c r="T67" i="131"/>
  <c r="V2369" i="131"/>
  <c r="V14" i="131"/>
  <c r="V13" i="131" s="1"/>
  <c r="V2408" i="131" s="1"/>
  <c r="G485" i="131"/>
  <c r="K486" i="131"/>
  <c r="G740" i="131"/>
  <c r="G739" i="131" s="1"/>
  <c r="K739" i="131" s="1"/>
  <c r="K741" i="131"/>
  <c r="M741" i="131" s="1"/>
  <c r="G1152" i="131"/>
  <c r="H26" i="114" s="1"/>
  <c r="K1153" i="131"/>
  <c r="H1172" i="131"/>
  <c r="L1173" i="131"/>
  <c r="G1359" i="131"/>
  <c r="W1384" i="131"/>
  <c r="K1384" i="131"/>
  <c r="M1384" i="131" s="1"/>
  <c r="K1466" i="131"/>
  <c r="G1465" i="131"/>
  <c r="K2320" i="131"/>
  <c r="G2319" i="131"/>
  <c r="W1789" i="131"/>
  <c r="T1789" i="131"/>
  <c r="K1789" i="131"/>
  <c r="S590" i="131"/>
  <c r="R2369" i="131"/>
  <c r="J755" i="131"/>
  <c r="L755" i="131" s="1"/>
  <c r="L756" i="131"/>
  <c r="J1104" i="131"/>
  <c r="L1104" i="131" s="1"/>
  <c r="L1105" i="131"/>
  <c r="W1377" i="131"/>
  <c r="K1177" i="131"/>
  <c r="K1550" i="131"/>
  <c r="G1549" i="131"/>
  <c r="K1549" i="131" s="1"/>
  <c r="K1840" i="131"/>
  <c r="L225" i="114" s="1"/>
  <c r="L224" i="114" s="1"/>
  <c r="I983" i="131"/>
  <c r="K983" i="131" s="1"/>
  <c r="T1384" i="131"/>
  <c r="K134" i="114"/>
  <c r="K133" i="114" s="1"/>
  <c r="T794" i="131"/>
  <c r="K794" i="131"/>
  <c r="M794" i="131" s="1"/>
  <c r="W794" i="131"/>
  <c r="G787" i="131"/>
  <c r="K787" i="131" s="1"/>
  <c r="M787" i="131" s="1"/>
  <c r="K788" i="131"/>
  <c r="M788" i="131" s="1"/>
  <c r="K296" i="114"/>
  <c r="L1336" i="131"/>
  <c r="M296" i="114" s="1"/>
  <c r="L960" i="131"/>
  <c r="K176" i="114"/>
  <c r="K175" i="114" s="1"/>
  <c r="K174" i="114" s="1"/>
  <c r="L1238" i="131"/>
  <c r="H1186" i="131"/>
  <c r="L1187" i="131"/>
  <c r="L1317" i="131"/>
  <c r="G1728" i="131"/>
  <c r="T1729" i="131"/>
  <c r="W1729" i="131"/>
  <c r="L1713" i="131"/>
  <c r="H1710" i="131"/>
  <c r="W1711" i="131"/>
  <c r="T1711" i="131"/>
  <c r="V1586" i="131"/>
  <c r="V1585" i="131" s="1"/>
  <c r="V1584" i="131" s="1"/>
  <c r="G1479" i="131"/>
  <c r="G1478" i="131" s="1"/>
  <c r="K1480" i="131"/>
  <c r="K1459" i="131"/>
  <c r="M1459" i="131" s="1"/>
  <c r="S758" i="131"/>
  <c r="K257" i="114"/>
  <c r="K256" i="114" s="1"/>
  <c r="W1822" i="131"/>
  <c r="K1822" i="131"/>
  <c r="H147" i="114"/>
  <c r="H146" i="114" s="1"/>
  <c r="G1890" i="131"/>
  <c r="G2388" i="131" s="1"/>
  <c r="K229" i="114"/>
  <c r="K228" i="114" s="1"/>
  <c r="J382" i="114"/>
  <c r="J381" i="114" s="1"/>
  <c r="L97" i="131"/>
  <c r="M72" i="114" s="1"/>
  <c r="M71" i="114" s="1"/>
  <c r="K72" i="114"/>
  <c r="K71" i="114" s="1"/>
  <c r="W1765" i="131"/>
  <c r="K1765" i="131"/>
  <c r="M1765" i="131" s="1"/>
  <c r="G1740" i="131"/>
  <c r="K1740" i="131" s="1"/>
  <c r="W1745" i="131"/>
  <c r="K1603" i="131"/>
  <c r="M1603" i="131" s="1"/>
  <c r="W1603" i="131"/>
  <c r="G1596" i="131"/>
  <c r="V2227" i="131"/>
  <c r="V2226" i="131" s="1"/>
  <c r="V2225" i="131" s="1"/>
  <c r="V2224" i="131" s="1"/>
  <c r="V501" i="131"/>
  <c r="G2244" i="131"/>
  <c r="H37" i="114"/>
  <c r="H1283" i="131"/>
  <c r="T781" i="131"/>
  <c r="W781" i="131"/>
  <c r="L750" i="131"/>
  <c r="W736" i="131"/>
  <c r="T736" i="131"/>
  <c r="J877" i="131"/>
  <c r="L877" i="131" s="1"/>
  <c r="U1648" i="131"/>
  <c r="K895" i="131"/>
  <c r="M895" i="131" s="1"/>
  <c r="W895" i="131"/>
  <c r="I217" i="114"/>
  <c r="I216" i="114" s="1"/>
  <c r="K785" i="131"/>
  <c r="X540" i="131"/>
  <c r="X2349" i="131"/>
  <c r="X2218" i="131"/>
  <c r="L2056" i="131"/>
  <c r="K2026" i="131"/>
  <c r="M2026" i="131" s="1"/>
  <c r="X2013" i="131"/>
  <c r="L2012" i="131"/>
  <c r="U1864" i="131"/>
  <c r="X1860" i="131"/>
  <c r="X1730" i="131"/>
  <c r="L1697" i="131"/>
  <c r="X1692" i="131"/>
  <c r="L1686" i="131"/>
  <c r="K1620" i="131"/>
  <c r="K1601" i="131"/>
  <c r="M1601" i="131" s="1"/>
  <c r="X1506" i="131"/>
  <c r="L1451" i="131"/>
  <c r="X1230" i="131"/>
  <c r="L1122" i="131"/>
  <c r="W1012" i="131"/>
  <c r="K482" i="131"/>
  <c r="V126" i="131"/>
  <c r="X85" i="131"/>
  <c r="L51" i="131"/>
  <c r="L2322" i="131"/>
  <c r="R1058" i="131"/>
  <c r="R1196" i="131"/>
  <c r="R1222" i="131"/>
  <c r="R1221" i="131" s="1"/>
  <c r="R1220" i="131" s="1"/>
  <c r="S1485" i="131"/>
  <c r="S1484" i="131" s="1"/>
  <c r="S1483" i="131" s="1"/>
  <c r="S1890" i="131"/>
  <c r="S2388" i="131" s="1"/>
  <c r="S1919" i="131"/>
  <c r="S1912" i="131" s="1"/>
  <c r="S1907" i="131" s="1"/>
  <c r="S2398" i="131" s="1"/>
  <c r="K1972" i="131"/>
  <c r="T1196" i="131"/>
  <c r="K1255" i="131"/>
  <c r="L1112" i="131"/>
  <c r="X2295" i="131"/>
  <c r="N2025" i="131"/>
  <c r="N2024" i="131" s="1"/>
  <c r="X2006" i="131"/>
  <c r="L1991" i="131"/>
  <c r="X1754" i="131"/>
  <c r="L1751" i="131"/>
  <c r="X1688" i="131"/>
  <c r="K1612" i="131"/>
  <c r="M1612" i="131" s="1"/>
  <c r="W1597" i="131"/>
  <c r="X1526" i="131"/>
  <c r="U1516" i="131"/>
  <c r="U1515" i="131" s="1"/>
  <c r="X1267" i="131"/>
  <c r="X1265" i="131"/>
  <c r="X1263" i="131"/>
  <c r="S288" i="131"/>
  <c r="S287" i="131" s="1"/>
  <c r="S286" i="131" s="1"/>
  <c r="S371" i="131"/>
  <c r="S1043" i="131"/>
  <c r="S1038" i="131" s="1"/>
  <c r="X415" i="131"/>
  <c r="J323" i="114"/>
  <c r="J322" i="114" s="1"/>
  <c r="L322" i="114" s="1"/>
  <c r="K2078" i="131"/>
  <c r="H117" i="114"/>
  <c r="K2300" i="131"/>
  <c r="U2180" i="131"/>
  <c r="U2291" i="131"/>
  <c r="U2290" i="131" s="1"/>
  <c r="U1674" i="131"/>
  <c r="U1673" i="131" s="1"/>
  <c r="U1672" i="131" s="1"/>
  <c r="U1671" i="131" s="1"/>
  <c r="G1562" i="131"/>
  <c r="V1563" i="131"/>
  <c r="V1562" i="131" s="1"/>
  <c r="V2448" i="131" s="1"/>
  <c r="U1563" i="131"/>
  <c r="U1562" i="131" s="1"/>
  <c r="U2448" i="131" s="1"/>
  <c r="U1222" i="131"/>
  <c r="U1221" i="131" s="1"/>
  <c r="U1220" i="131" s="1"/>
  <c r="G2025" i="131"/>
  <c r="U1502" i="131"/>
  <c r="U1497" i="131" s="1"/>
  <c r="U1289" i="131"/>
  <c r="U2378" i="131" s="1"/>
  <c r="U501" i="131"/>
  <c r="V2163" i="131"/>
  <c r="V2137" i="131" s="1"/>
  <c r="V1674" i="131"/>
  <c r="V1673" i="131" s="1"/>
  <c r="V1672" i="131" s="1"/>
  <c r="V1671" i="131" s="1"/>
  <c r="V1553" i="131"/>
  <c r="N1535" i="131"/>
  <c r="K142" i="131"/>
  <c r="M142" i="131" s="1"/>
  <c r="K147" i="131"/>
  <c r="K152" i="131"/>
  <c r="M152" i="131" s="1"/>
  <c r="L251" i="131"/>
  <c r="L265" i="131"/>
  <c r="L269" i="131"/>
  <c r="L308" i="131"/>
  <c r="L342" i="131"/>
  <c r="L482" i="131"/>
  <c r="K1214" i="131"/>
  <c r="K1218" i="131"/>
  <c r="M1218" i="131" s="1"/>
  <c r="I1247" i="131"/>
  <c r="I2409" i="131" s="1"/>
  <c r="E11" i="36" s="1"/>
  <c r="K1296" i="131"/>
  <c r="L2133" i="131"/>
  <c r="L2148" i="131"/>
  <c r="M205" i="114" s="1"/>
  <c r="M204" i="114" s="1"/>
  <c r="I696" i="131"/>
  <c r="I695" i="131" s="1"/>
  <c r="I690" i="131" s="1"/>
  <c r="L711" i="131"/>
  <c r="G1108" i="131"/>
  <c r="G1107" i="131" s="1"/>
  <c r="U1248" i="131"/>
  <c r="U1247" i="131" s="1"/>
  <c r="U2409" i="131" s="1"/>
  <c r="N1222" i="131"/>
  <c r="N1221" i="131" s="1"/>
  <c r="N1220" i="131" s="1"/>
  <c r="N1196" i="131"/>
  <c r="N1097" i="131" s="1"/>
  <c r="N2438" i="131" s="1"/>
  <c r="U1058" i="131"/>
  <c r="V780" i="131"/>
  <c r="V776" i="131" s="1"/>
  <c r="H477" i="131"/>
  <c r="H476" i="131" s="1"/>
  <c r="V1058" i="131"/>
  <c r="V219" i="131"/>
  <c r="V211" i="131" s="1"/>
  <c r="V210" i="131" s="1"/>
  <c r="S491" i="131"/>
  <c r="S490" i="131" s="1"/>
  <c r="R1018" i="131"/>
  <c r="R1017" i="131" s="1"/>
  <c r="R1016" i="131" s="1"/>
  <c r="R1043" i="131"/>
  <c r="R1038" i="131" s="1"/>
  <c r="R1066" i="131"/>
  <c r="R1065" i="131" s="1"/>
  <c r="R1064" i="131" s="1"/>
  <c r="R1063" i="131" s="1"/>
  <c r="S1433" i="131"/>
  <c r="S2390" i="131" s="1"/>
  <c r="R1502" i="131"/>
  <c r="R1497" i="131" s="1"/>
  <c r="S1516" i="131"/>
  <c r="S1515" i="131" s="1"/>
  <c r="S1586" i="131"/>
  <c r="S1585" i="131" s="1"/>
  <c r="S1584" i="131" s="1"/>
  <c r="S1596" i="131"/>
  <c r="J658" i="131"/>
  <c r="K721" i="131"/>
  <c r="W730" i="131"/>
  <c r="X730" i="131" s="1"/>
  <c r="K937" i="131"/>
  <c r="M937" i="131" s="1"/>
  <c r="N720" i="131"/>
  <c r="U677" i="131"/>
  <c r="H658" i="131"/>
  <c r="R965" i="131"/>
  <c r="R964" i="131" s="1"/>
  <c r="S1648" i="131"/>
  <c r="S1674" i="131"/>
  <c r="S1673" i="131" s="1"/>
  <c r="S1672" i="131" s="1"/>
  <c r="S1671" i="131" s="1"/>
  <c r="S1710" i="131"/>
  <c r="S1704" i="131" s="1"/>
  <c r="S2413" i="131" s="1"/>
  <c r="R1971" i="131"/>
  <c r="R1970" i="131" s="1"/>
  <c r="R2025" i="131"/>
  <c r="R2024" i="131" s="1"/>
  <c r="L580" i="131"/>
  <c r="L584" i="131"/>
  <c r="L1382" i="131"/>
  <c r="W2175" i="131"/>
  <c r="K2004" i="131"/>
  <c r="W2004" i="131"/>
  <c r="T2004" i="131"/>
  <c r="W1998" i="131"/>
  <c r="K1998" i="131"/>
  <c r="T1998" i="131"/>
  <c r="N2456" i="131"/>
  <c r="N2457" i="131" s="1"/>
  <c r="N1717" i="131"/>
  <c r="W1657" i="131"/>
  <c r="G1648" i="131"/>
  <c r="K1657" i="131"/>
  <c r="M1657" i="131" s="1"/>
  <c r="W1541" i="131"/>
  <c r="T1541" i="131"/>
  <c r="K1541" i="131"/>
  <c r="G1223" i="131"/>
  <c r="G1222" i="131" s="1"/>
  <c r="G1221" i="131" s="1"/>
  <c r="G1220" i="131" s="1"/>
  <c r="T1224" i="131"/>
  <c r="W1224" i="131"/>
  <c r="U126" i="131"/>
  <c r="G109" i="131"/>
  <c r="G108" i="131" s="1"/>
  <c r="K110" i="131"/>
  <c r="M110" i="131" s="1"/>
  <c r="L83" i="131"/>
  <c r="K422" i="131"/>
  <c r="K421" i="131" s="1"/>
  <c r="G421" i="131"/>
  <c r="H263" i="114" s="1"/>
  <c r="H262" i="114" s="1"/>
  <c r="K162" i="131"/>
  <c r="J177" i="131"/>
  <c r="L177" i="131" s="1"/>
  <c r="L178" i="131"/>
  <c r="J202" i="131"/>
  <c r="J201" i="131" s="1"/>
  <c r="L203" i="131"/>
  <c r="J280" i="131"/>
  <c r="L281" i="131"/>
  <c r="K309" i="114"/>
  <c r="J458" i="131"/>
  <c r="L461" i="131"/>
  <c r="L478" i="131"/>
  <c r="J477" i="131"/>
  <c r="J505" i="131"/>
  <c r="L505" i="131" s="1"/>
  <c r="L506" i="131"/>
  <c r="K1238" i="131"/>
  <c r="W1238" i="131"/>
  <c r="W1273" i="131"/>
  <c r="I1290" i="131"/>
  <c r="K1291" i="131"/>
  <c r="M1291" i="131" s="1"/>
  <c r="I2142" i="131"/>
  <c r="K2143" i="131"/>
  <c r="M2143" i="131" s="1"/>
  <c r="I2163" i="131"/>
  <c r="K2166" i="131"/>
  <c r="M883" i="131"/>
  <c r="X883" i="131"/>
  <c r="M894" i="131"/>
  <c r="X894" i="131"/>
  <c r="M944" i="131"/>
  <c r="X944" i="131"/>
  <c r="M1000" i="131"/>
  <c r="X1000" i="131"/>
  <c r="M1006" i="131"/>
  <c r="X1006" i="131"/>
  <c r="M1033" i="131"/>
  <c r="X1033" i="131"/>
  <c r="M1069" i="131"/>
  <c r="X1069" i="131"/>
  <c r="M1090" i="131"/>
  <c r="X1090" i="131"/>
  <c r="M2015" i="131"/>
  <c r="X2015" i="131"/>
  <c r="K60" i="114"/>
  <c r="K59" i="114" s="1"/>
  <c r="T1677" i="131"/>
  <c r="K1677" i="131"/>
  <c r="W1677" i="131"/>
  <c r="G2145" i="131"/>
  <c r="K2146" i="131"/>
  <c r="T1564" i="131"/>
  <c r="K1564" i="131"/>
  <c r="J1426" i="131"/>
  <c r="L1426" i="131" s="1"/>
  <c r="L1427" i="131"/>
  <c r="H281" i="114"/>
  <c r="T1238" i="131"/>
  <c r="L1498" i="131"/>
  <c r="L2392" i="131" s="1"/>
  <c r="H355" i="114"/>
  <c r="H354" i="114" s="1"/>
  <c r="K1934" i="131"/>
  <c r="K117" i="131"/>
  <c r="M117" i="131" s="1"/>
  <c r="K384" i="114"/>
  <c r="L1822" i="131"/>
  <c r="I196" i="114"/>
  <c r="H181" i="131"/>
  <c r="H2391" i="131" s="1"/>
  <c r="I812" i="131"/>
  <c r="L214" i="131"/>
  <c r="H217" i="114"/>
  <c r="H216" i="114" s="1"/>
  <c r="G2067" i="131"/>
  <c r="K1545" i="131"/>
  <c r="M1545" i="131" s="1"/>
  <c r="T1545" i="131"/>
  <c r="W1545" i="131"/>
  <c r="K164" i="131"/>
  <c r="M164" i="131" s="1"/>
  <c r="W164" i="131"/>
  <c r="N2369" i="131"/>
  <c r="G955" i="131"/>
  <c r="K955" i="131" s="1"/>
  <c r="K956" i="131"/>
  <c r="M956" i="131" s="1"/>
  <c r="T905" i="131"/>
  <c r="W905" i="131"/>
  <c r="K905" i="131"/>
  <c r="M905" i="131" s="1"/>
  <c r="L20" i="131"/>
  <c r="J106" i="114"/>
  <c r="K101" i="131"/>
  <c r="I100" i="131"/>
  <c r="I123" i="131"/>
  <c r="K124" i="131"/>
  <c r="M124" i="131" s="1"/>
  <c r="J186" i="131"/>
  <c r="L187" i="131"/>
  <c r="I235" i="131"/>
  <c r="W235" i="131" s="1"/>
  <c r="K236" i="131"/>
  <c r="M236" i="131" s="1"/>
  <c r="T236" i="131"/>
  <c r="W236" i="131"/>
  <c r="L335" i="131"/>
  <c r="J498" i="131"/>
  <c r="L499" i="131"/>
  <c r="I1283" i="131"/>
  <c r="K1284" i="131"/>
  <c r="M1284" i="131" s="1"/>
  <c r="T1284" i="131"/>
  <c r="I1303" i="131"/>
  <c r="K1303" i="131" s="1"/>
  <c r="K1304" i="131"/>
  <c r="M1304" i="131" s="1"/>
  <c r="J1828" i="131"/>
  <c r="L1829" i="131"/>
  <c r="K205" i="114"/>
  <c r="K204" i="114" s="1"/>
  <c r="M906" i="131"/>
  <c r="X906" i="131"/>
  <c r="M908" i="131"/>
  <c r="X908" i="131"/>
  <c r="M917" i="131"/>
  <c r="X917" i="131"/>
  <c r="M947" i="131"/>
  <c r="X947" i="131"/>
  <c r="M950" i="131"/>
  <c r="X950" i="131"/>
  <c r="M1003" i="131"/>
  <c r="X1003" i="131"/>
  <c r="M1013" i="131"/>
  <c r="X1013" i="131"/>
  <c r="M1072" i="131"/>
  <c r="X1072" i="131"/>
  <c r="M1092" i="131"/>
  <c r="X1092" i="131"/>
  <c r="I295" i="114"/>
  <c r="L1182" i="131"/>
  <c r="M295" i="114" s="1"/>
  <c r="I79" i="131"/>
  <c r="W80" i="131"/>
  <c r="K386" i="114"/>
  <c r="K385" i="114" s="1"/>
  <c r="L1356" i="131"/>
  <c r="M386" i="114" s="1"/>
  <c r="M385" i="114" s="1"/>
  <c r="J18" i="114"/>
  <c r="J16" i="114" s="1"/>
  <c r="L1516" i="131"/>
  <c r="J2340" i="131"/>
  <c r="J2339" i="131" s="1"/>
  <c r="J2452" i="131" s="1"/>
  <c r="K1297" i="131"/>
  <c r="M1297" i="131" s="1"/>
  <c r="K1224" i="131"/>
  <c r="X2018" i="131"/>
  <c r="K1955" i="131"/>
  <c r="L365" i="114" s="1"/>
  <c r="L364" i="114" s="1"/>
  <c r="H115" i="114"/>
  <c r="G2291" i="131"/>
  <c r="I285" i="114"/>
  <c r="H716" i="131"/>
  <c r="K1039" i="131"/>
  <c r="H309" i="114"/>
  <c r="H1985" i="131"/>
  <c r="L2000" i="131"/>
  <c r="H1734" i="131"/>
  <c r="L1735" i="131"/>
  <c r="L1667" i="131"/>
  <c r="H1648" i="131"/>
  <c r="U1538" i="131"/>
  <c r="U1537" i="131" s="1"/>
  <c r="U1536" i="131" s="1"/>
  <c r="K1539" i="131"/>
  <c r="G1538" i="131"/>
  <c r="T1539" i="131"/>
  <c r="N2443" i="131"/>
  <c r="N2444" i="131" s="1"/>
  <c r="N1521" i="131"/>
  <c r="H511" i="131"/>
  <c r="I305" i="114" s="1"/>
  <c r="L512" i="131"/>
  <c r="L155" i="131"/>
  <c r="W142" i="131"/>
  <c r="G113" i="131"/>
  <c r="G112" i="131" s="1"/>
  <c r="K114" i="131"/>
  <c r="M114" i="131" s="1"/>
  <c r="H106" i="114"/>
  <c r="G100" i="131"/>
  <c r="G2371" i="131"/>
  <c r="P2371" i="131" s="1"/>
  <c r="K56" i="131"/>
  <c r="M56" i="131" s="1"/>
  <c r="L30" i="131"/>
  <c r="T20" i="131"/>
  <c r="W20" i="131"/>
  <c r="I94" i="131"/>
  <c r="K95" i="131"/>
  <c r="K389" i="114"/>
  <c r="K388" i="114" s="1"/>
  <c r="K387" i="114" s="1"/>
  <c r="Q387" i="114" s="1"/>
  <c r="L109" i="131"/>
  <c r="W137" i="131"/>
  <c r="K137" i="131"/>
  <c r="M137" i="131" s="1"/>
  <c r="J193" i="131"/>
  <c r="L193" i="131" s="1"/>
  <c r="L194" i="131"/>
  <c r="J219" i="131"/>
  <c r="L220" i="131"/>
  <c r="L295" i="131"/>
  <c r="J315" i="131"/>
  <c r="L315" i="131" s="1"/>
  <c r="L316" i="131"/>
  <c r="J455" i="131"/>
  <c r="L456" i="131"/>
  <c r="L492" i="131"/>
  <c r="J491" i="131"/>
  <c r="W1226" i="131"/>
  <c r="K1226" i="131"/>
  <c r="T1226" i="131"/>
  <c r="K1244" i="131"/>
  <c r="W1244" i="131"/>
  <c r="I2154" i="131"/>
  <c r="K2155" i="131"/>
  <c r="M870" i="131"/>
  <c r="X870" i="131"/>
  <c r="M880" i="131"/>
  <c r="X880" i="131"/>
  <c r="M901" i="131"/>
  <c r="X901" i="131"/>
  <c r="M932" i="131"/>
  <c r="X932" i="131"/>
  <c r="M941" i="131"/>
  <c r="X941" i="131"/>
  <c r="M997" i="131"/>
  <c r="X997" i="131"/>
  <c r="M1029" i="131"/>
  <c r="X1029" i="131"/>
  <c r="M1062" i="131"/>
  <c r="X1062" i="131"/>
  <c r="M1079" i="131"/>
  <c r="X1079" i="131"/>
  <c r="L403" i="114"/>
  <c r="K2052" i="131"/>
  <c r="X2350" i="131"/>
  <c r="M2350" i="131"/>
  <c r="M2352" i="131"/>
  <c r="X2352" i="131"/>
  <c r="K1949" i="131"/>
  <c r="I1948" i="131"/>
  <c r="J363" i="114" s="1"/>
  <c r="J362" i="114" s="1"/>
  <c r="L2123" i="131"/>
  <c r="J2120" i="131"/>
  <c r="K338" i="114" s="1"/>
  <c r="K337" i="114" s="1"/>
  <c r="X1681" i="131"/>
  <c r="M1681" i="131"/>
  <c r="M609" i="131"/>
  <c r="K608" i="131"/>
  <c r="M608" i="131" s="1"/>
  <c r="H1498" i="131"/>
  <c r="I44" i="114"/>
  <c r="I43" i="114" s="1"/>
  <c r="I42" i="114" s="1"/>
  <c r="T262" i="131"/>
  <c r="W262" i="131"/>
  <c r="L1109" i="131"/>
  <c r="J1108" i="131"/>
  <c r="W33" i="131"/>
  <c r="K607" i="131"/>
  <c r="W56" i="131"/>
  <c r="I70" i="114"/>
  <c r="I69" i="114" s="1"/>
  <c r="L94" i="131"/>
  <c r="M70" i="114" s="1"/>
  <c r="M69" i="114" s="1"/>
  <c r="K20" i="131"/>
  <c r="V611" i="131"/>
  <c r="T1657" i="131"/>
  <c r="K639" i="131"/>
  <c r="M639" i="131" s="1"/>
  <c r="L1357" i="131"/>
  <c r="W1210" i="131"/>
  <c r="I856" i="131"/>
  <c r="H1897" i="131"/>
  <c r="K102" i="131"/>
  <c r="L466" i="131"/>
  <c r="J60" i="114"/>
  <c r="J59" i="114" s="1"/>
  <c r="K288" i="114"/>
  <c r="G1871" i="131"/>
  <c r="X1020" i="131"/>
  <c r="T1610" i="131"/>
  <c r="K1610" i="131"/>
  <c r="M1610" i="131" s="1"/>
  <c r="L2334" i="131"/>
  <c r="H2327" i="131"/>
  <c r="L2327" i="131" s="1"/>
  <c r="X2329" i="131"/>
  <c r="K2328" i="131"/>
  <c r="W2328" i="131"/>
  <c r="H645" i="131"/>
  <c r="L645" i="131" s="1"/>
  <c r="L646" i="131"/>
  <c r="K141" i="114"/>
  <c r="K140" i="114" s="1"/>
  <c r="L1825" i="131"/>
  <c r="M213" i="114" s="1"/>
  <c r="M212" i="114" s="1"/>
  <c r="I213" i="114"/>
  <c r="I212" i="114" s="1"/>
  <c r="H201" i="114"/>
  <c r="H200" i="114" s="1"/>
  <c r="K1587" i="131"/>
  <c r="W1587" i="131"/>
  <c r="W1397" i="131"/>
  <c r="K1397" i="131"/>
  <c r="X1087" i="131"/>
  <c r="T1022" i="131"/>
  <c r="W1022" i="131"/>
  <c r="K1022" i="131"/>
  <c r="H1018" i="131"/>
  <c r="X1009" i="131"/>
  <c r="W827" i="131"/>
  <c r="X827" i="131" s="1"/>
  <c r="P828" i="131"/>
  <c r="P829" i="131" s="1"/>
  <c r="P599" i="131"/>
  <c r="W797" i="131"/>
  <c r="K797" i="131"/>
  <c r="M797" i="131" s="1"/>
  <c r="K752" i="131"/>
  <c r="M752" i="131" s="1"/>
  <c r="T752" i="131"/>
  <c r="U382" i="131"/>
  <c r="H444" i="131"/>
  <c r="L445" i="131"/>
  <c r="R238" i="131"/>
  <c r="S1076" i="131"/>
  <c r="S1075" i="131" s="1"/>
  <c r="S1074" i="131" s="1"/>
  <c r="S1073" i="131" s="1"/>
  <c r="X2348" i="131"/>
  <c r="K2275" i="131"/>
  <c r="H2268" i="131"/>
  <c r="L2273" i="131"/>
  <c r="K2044" i="131"/>
  <c r="M2044" i="131" s="1"/>
  <c r="W2044" i="131"/>
  <c r="T1649" i="131"/>
  <c r="K1649" i="131"/>
  <c r="M1649" i="131" s="1"/>
  <c r="H1485" i="131"/>
  <c r="L1485" i="131" s="1"/>
  <c r="L1486" i="131"/>
  <c r="T1459" i="131"/>
  <c r="W1459" i="131"/>
  <c r="K1286" i="131"/>
  <c r="M1286" i="131" s="1"/>
  <c r="W1286" i="131"/>
  <c r="K64" i="114"/>
  <c r="K63" i="114" s="1"/>
  <c r="K20" i="114"/>
  <c r="K19" i="114" s="1"/>
  <c r="U1890" i="131"/>
  <c r="U2388" i="131" s="1"/>
  <c r="T1653" i="131"/>
  <c r="W1653" i="131"/>
  <c r="W1630" i="131"/>
  <c r="T1630" i="131"/>
  <c r="K1630" i="131"/>
  <c r="T697" i="131"/>
  <c r="G696" i="131"/>
  <c r="G695" i="131" s="1"/>
  <c r="L741" i="131"/>
  <c r="H740" i="131"/>
  <c r="W2293" i="131"/>
  <c r="X962" i="131"/>
  <c r="N1864" i="131"/>
  <c r="N1820" i="131" s="1"/>
  <c r="N2421" i="131" s="1"/>
  <c r="V1502" i="131"/>
  <c r="V1497" i="131" s="1"/>
  <c r="X1084" i="131"/>
  <c r="X1082" i="131"/>
  <c r="L372" i="131"/>
  <c r="X2358" i="131"/>
  <c r="W1564" i="131"/>
  <c r="V1234" i="131"/>
  <c r="V1233" i="131" s="1"/>
  <c r="V2407" i="131" s="1"/>
  <c r="U1196" i="131"/>
  <c r="X1023" i="131"/>
  <c r="X982" i="131"/>
  <c r="N426" i="131"/>
  <c r="N395" i="131" s="1"/>
  <c r="L377" i="131"/>
  <c r="L257" i="131"/>
  <c r="U189" i="131"/>
  <c r="U180" i="131" s="1"/>
  <c r="K910" i="131"/>
  <c r="X1026" i="131"/>
  <c r="U2340" i="131"/>
  <c r="U2339" i="131" s="1"/>
  <c r="U2452" i="131" s="1"/>
  <c r="V2089" i="131"/>
  <c r="V2059" i="131" s="1"/>
  <c r="K1210" i="131"/>
  <c r="M1210" i="131" s="1"/>
  <c r="X920" i="131"/>
  <c r="L467" i="131"/>
  <c r="L2134" i="131"/>
  <c r="L572" i="131"/>
  <c r="X890" i="131"/>
  <c r="H625" i="131"/>
  <c r="X544" i="131"/>
  <c r="U371" i="131"/>
  <c r="L353" i="131"/>
  <c r="R538" i="131"/>
  <c r="R537" i="131" s="1"/>
  <c r="R536" i="131" s="1"/>
  <c r="S749" i="131"/>
  <c r="S748" i="131" s="1"/>
  <c r="R769" i="131"/>
  <c r="R768" i="131" s="1"/>
  <c r="R758" i="131" s="1"/>
  <c r="S1018" i="131"/>
  <c r="S1017" i="131" s="1"/>
  <c r="S1016" i="131" s="1"/>
  <c r="R1306" i="131"/>
  <c r="J1043" i="131"/>
  <c r="I1108" i="131"/>
  <c r="I1107" i="131" s="1"/>
  <c r="I1102" i="131" s="1"/>
  <c r="V904" i="131"/>
  <c r="V903" i="131" s="1"/>
  <c r="V897" i="131" s="1"/>
  <c r="W889" i="131"/>
  <c r="X874" i="131"/>
  <c r="V812" i="131"/>
  <c r="V811" i="131" s="1"/>
  <c r="V810" i="131" s="1"/>
  <c r="U812" i="131"/>
  <c r="U811" i="131" s="1"/>
  <c r="U810" i="131" s="1"/>
  <c r="X743" i="131"/>
  <c r="X671" i="131"/>
  <c r="U458" i="131"/>
  <c r="U448" i="131" s="1"/>
  <c r="S126" i="131"/>
  <c r="R288" i="131"/>
  <c r="R287" i="131" s="1"/>
  <c r="R286" i="131" s="1"/>
  <c r="S965" i="131"/>
  <c r="S964" i="131" s="1"/>
  <c r="R1919" i="131"/>
  <c r="R1912" i="131" s="1"/>
  <c r="R1907" i="131" s="1"/>
  <c r="R2398" i="131" s="1"/>
  <c r="S2025" i="131"/>
  <c r="S2024" i="131" s="1"/>
  <c r="R2268" i="131"/>
  <c r="R2267" i="131" s="1"/>
  <c r="R2266" i="131" s="1"/>
  <c r="R2265" i="131" s="1"/>
  <c r="R2264" i="131" s="1"/>
  <c r="K1052" i="131"/>
  <c r="L966" i="131"/>
  <c r="H1726" i="131"/>
  <c r="H1725" i="131" s="1"/>
  <c r="M2198" i="131"/>
  <c r="L1193" i="131"/>
  <c r="H1192" i="131"/>
  <c r="L1192" i="131" s="1"/>
  <c r="I187" i="114"/>
  <c r="I186" i="114" s="1"/>
  <c r="S677" i="131"/>
  <c r="S2456" i="131"/>
  <c r="S2457" i="131" s="1"/>
  <c r="S1717" i="131"/>
  <c r="S1740" i="131"/>
  <c r="S1739" i="131" s="1"/>
  <c r="S1738" i="131" s="1"/>
  <c r="S1737" i="131" s="1"/>
  <c r="S1724" i="131" s="1"/>
  <c r="R1985" i="131"/>
  <c r="G1967" i="131"/>
  <c r="H372" i="114" s="1"/>
  <c r="H371" i="114" s="1"/>
  <c r="H370" i="114" s="1"/>
  <c r="K1968" i="131"/>
  <c r="H812" i="131"/>
  <c r="L821" i="131"/>
  <c r="G2086" i="131"/>
  <c r="K2087" i="131"/>
  <c r="G673" i="131"/>
  <c r="K674" i="131"/>
  <c r="M674" i="131" s="1"/>
  <c r="G1307" i="131"/>
  <c r="K1308" i="131"/>
  <c r="L1137" i="131"/>
  <c r="H2370" i="131"/>
  <c r="H1108" i="131"/>
  <c r="L1270" i="131"/>
  <c r="G1674" i="131"/>
  <c r="K1694" i="131"/>
  <c r="G2340" i="131"/>
  <c r="K2353" i="131"/>
  <c r="G1844" i="131"/>
  <c r="K1845" i="131"/>
  <c r="H396" i="114"/>
  <c r="H395" i="114" s="1"/>
  <c r="H1879" i="131"/>
  <c r="L1880" i="131"/>
  <c r="H1429" i="131"/>
  <c r="L1430" i="131"/>
  <c r="J228" i="131"/>
  <c r="L229" i="131"/>
  <c r="I528" i="131"/>
  <c r="K529" i="131"/>
  <c r="M529" i="131" s="1"/>
  <c r="W529" i="131"/>
  <c r="W541" i="131"/>
  <c r="K541" i="131"/>
  <c r="M541" i="131" s="1"/>
  <c r="I2370" i="131"/>
  <c r="I538" i="131"/>
  <c r="W545" i="131"/>
  <c r="K545" i="131"/>
  <c r="W549" i="131"/>
  <c r="K549" i="131"/>
  <c r="I2371" i="131"/>
  <c r="I559" i="131"/>
  <c r="J34" i="114" s="1"/>
  <c r="K560" i="131"/>
  <c r="J562" i="131"/>
  <c r="L562" i="131" s="1"/>
  <c r="L563" i="131"/>
  <c r="L576" i="131"/>
  <c r="J569" i="131"/>
  <c r="L588" i="131"/>
  <c r="J2371" i="131"/>
  <c r="L594" i="131"/>
  <c r="J590" i="131"/>
  <c r="J2370" i="131"/>
  <c r="L598" i="131"/>
  <c r="L613" i="131"/>
  <c r="J621" i="131"/>
  <c r="L621" i="131" s="1"/>
  <c r="L622" i="131"/>
  <c r="L628" i="131"/>
  <c r="J625" i="131"/>
  <c r="L634" i="131"/>
  <c r="J631" i="131"/>
  <c r="J639" i="131"/>
  <c r="L639" i="131" s="1"/>
  <c r="L640" i="131"/>
  <c r="I899" i="131"/>
  <c r="T900" i="131"/>
  <c r="W900" i="131"/>
  <c r="K900" i="131"/>
  <c r="M900" i="131" s="1"/>
  <c r="T916" i="131"/>
  <c r="K916" i="131"/>
  <c r="M916" i="131" s="1"/>
  <c r="K922" i="131"/>
  <c r="M922" i="131" s="1"/>
  <c r="K931" i="131"/>
  <c r="M931" i="131" s="1"/>
  <c r="W931" i="131"/>
  <c r="W943" i="131"/>
  <c r="K943" i="131"/>
  <c r="M943" i="131" s="1"/>
  <c r="K948" i="131"/>
  <c r="M948" i="131" s="1"/>
  <c r="W948" i="131"/>
  <c r="J165" i="114"/>
  <c r="J164" i="114" s="1"/>
  <c r="I951" i="131"/>
  <c r="I1171" i="131"/>
  <c r="J182" i="114"/>
  <c r="K1834" i="131"/>
  <c r="L221" i="114" s="1"/>
  <c r="L220" i="114" s="1"/>
  <c r="J1837" i="131"/>
  <c r="L1838" i="131"/>
  <c r="L1845" i="131"/>
  <c r="J1844" i="131"/>
  <c r="I1851" i="131"/>
  <c r="K1852" i="131"/>
  <c r="J1854" i="131"/>
  <c r="L1854" i="131" s="1"/>
  <c r="L1855" i="131"/>
  <c r="L1862" i="131"/>
  <c r="J1858" i="131"/>
  <c r="L1858" i="131" s="1"/>
  <c r="L1867" i="131"/>
  <c r="J1864" i="131"/>
  <c r="J1872" i="131"/>
  <c r="L1875" i="131"/>
  <c r="J1886" i="131"/>
  <c r="L1886" i="131" s="1"/>
  <c r="L1887" i="131"/>
  <c r="I1894" i="131"/>
  <c r="K1895" i="131"/>
  <c r="I1897" i="131"/>
  <c r="K1898" i="131"/>
  <c r="L1905" i="131"/>
  <c r="J1904" i="131"/>
  <c r="K1920" i="131"/>
  <c r="I1919" i="131"/>
  <c r="I1931" i="131"/>
  <c r="K1932" i="131"/>
  <c r="J1934" i="131"/>
  <c r="L1935" i="131"/>
  <c r="K2069" i="131"/>
  <c r="M2069" i="131" s="1"/>
  <c r="I2068" i="131"/>
  <c r="I2075" i="131"/>
  <c r="K2076" i="131"/>
  <c r="L2246" i="131"/>
  <c r="J2245" i="131"/>
  <c r="I2252" i="131"/>
  <c r="K2253" i="131"/>
  <c r="X81" i="131"/>
  <c r="K80" i="131"/>
  <c r="M81" i="131"/>
  <c r="X271" i="131"/>
  <c r="M271" i="131"/>
  <c r="M274" i="131"/>
  <c r="X274" i="131"/>
  <c r="M276" i="131"/>
  <c r="X276" i="131"/>
  <c r="M309" i="131"/>
  <c r="X309" i="131"/>
  <c r="M311" i="131"/>
  <c r="X311" i="131"/>
  <c r="M317" i="131"/>
  <c r="X317" i="131"/>
  <c r="M348" i="131"/>
  <c r="X348" i="131"/>
  <c r="M350" i="131"/>
  <c r="X350" i="131"/>
  <c r="M354" i="131"/>
  <c r="X354" i="131"/>
  <c r="M375" i="131"/>
  <c r="X375" i="131"/>
  <c r="M380" i="131"/>
  <c r="X380" i="131"/>
  <c r="M401" i="131"/>
  <c r="X401" i="131"/>
  <c r="M412" i="131"/>
  <c r="X412" i="131"/>
  <c r="M431" i="131"/>
  <c r="X431" i="131"/>
  <c r="X437" i="131"/>
  <c r="M437" i="131"/>
  <c r="M1548" i="131"/>
  <c r="X1548" i="131"/>
  <c r="M1555" i="131"/>
  <c r="X1555" i="131"/>
  <c r="W2177" i="131"/>
  <c r="K2177" i="131"/>
  <c r="K1163" i="131"/>
  <c r="J342" i="114"/>
  <c r="J341" i="114" s="1"/>
  <c r="T2175" i="131"/>
  <c r="L1728" i="131"/>
  <c r="X2198" i="131"/>
  <c r="N1889" i="131"/>
  <c r="N2423" i="131" s="1"/>
  <c r="M799" i="131"/>
  <c r="L502" i="131"/>
  <c r="V2393" i="131"/>
  <c r="M873" i="131"/>
  <c r="W2176" i="131"/>
  <c r="L1307" i="131"/>
  <c r="I27" i="114"/>
  <c r="X839" i="131"/>
  <c r="M839" i="131"/>
  <c r="J394" i="114"/>
  <c r="J393" i="114" s="1"/>
  <c r="K182" i="131"/>
  <c r="G1075" i="131"/>
  <c r="G1074" i="131" s="1"/>
  <c r="I313" i="114"/>
  <c r="M1505" i="131"/>
  <c r="K268" i="114"/>
  <c r="K267" i="114" s="1"/>
  <c r="J978" i="131"/>
  <c r="J330" i="114"/>
  <c r="J329" i="114" s="1"/>
  <c r="L2192" i="131"/>
  <c r="H2191" i="131"/>
  <c r="K392" i="131"/>
  <c r="M392" i="131" s="1"/>
  <c r="J245" i="114"/>
  <c r="L245" i="114" s="1"/>
  <c r="W392" i="131"/>
  <c r="M2229" i="131"/>
  <c r="H307" i="114"/>
  <c r="R1535" i="131"/>
  <c r="R1530" i="131" s="1"/>
  <c r="I806" i="131"/>
  <c r="S278" i="131"/>
  <c r="S2417" i="131"/>
  <c r="N2450" i="131"/>
  <c r="N2453" i="131" s="1"/>
  <c r="N1582" i="131"/>
  <c r="K325" i="114"/>
  <c r="M325" i="114" s="1"/>
  <c r="M326" i="114"/>
  <c r="H2291" i="131"/>
  <c r="I117" i="114"/>
  <c r="M2237" i="131"/>
  <c r="J2284" i="131"/>
  <c r="K127" i="114"/>
  <c r="L2303" i="131"/>
  <c r="I402" i="114"/>
  <c r="G2071" i="131"/>
  <c r="I318" i="131"/>
  <c r="G1628" i="131"/>
  <c r="G1627" i="131" s="1"/>
  <c r="G410" i="131"/>
  <c r="W410" i="131" s="1"/>
  <c r="T411" i="131"/>
  <c r="W411" i="131"/>
  <c r="K411" i="131"/>
  <c r="H383" i="131"/>
  <c r="L384" i="131"/>
  <c r="L374" i="131"/>
  <c r="H371" i="131"/>
  <c r="G186" i="131"/>
  <c r="K186" i="131" s="1"/>
  <c r="M186" i="131" s="1"/>
  <c r="W187" i="131"/>
  <c r="K187" i="131"/>
  <c r="M187" i="131" s="1"/>
  <c r="H1163" i="131"/>
  <c r="L1166" i="131"/>
  <c r="L509" i="131"/>
  <c r="H508" i="131"/>
  <c r="L508" i="131" s="1"/>
  <c r="H35" i="114"/>
  <c r="J1727" i="131"/>
  <c r="J1726" i="131" s="1"/>
  <c r="J1725" i="131" s="1"/>
  <c r="J2458" i="131" s="1"/>
  <c r="F66" i="36" s="1"/>
  <c r="K39" i="114"/>
  <c r="I124" i="114"/>
  <c r="L2305" i="131"/>
  <c r="U2039" i="131"/>
  <c r="U2038" i="131" s="1"/>
  <c r="U2037" i="131" s="1"/>
  <c r="I283" i="114"/>
  <c r="H1339" i="131"/>
  <c r="L1340" i="131"/>
  <c r="H1333" i="131"/>
  <c r="L1334" i="131"/>
  <c r="T1085" i="131"/>
  <c r="K1085" i="131"/>
  <c r="W1061" i="131"/>
  <c r="T1061" i="131"/>
  <c r="G1058" i="131"/>
  <c r="H979" i="131"/>
  <c r="L979" i="131" s="1"/>
  <c r="L980" i="131"/>
  <c r="I176" i="114"/>
  <c r="H959" i="131"/>
  <c r="K882" i="131"/>
  <c r="M882" i="131" s="1"/>
  <c r="W882" i="131"/>
  <c r="T841" i="131"/>
  <c r="K841" i="131"/>
  <c r="W841" i="131"/>
  <c r="U112" i="131"/>
  <c r="X1569" i="131"/>
  <c r="X1567" i="131"/>
  <c r="X1565" i="131"/>
  <c r="U1342" i="131"/>
  <c r="U1325" i="131" s="1"/>
  <c r="V1410" i="131"/>
  <c r="V1409" i="131" s="1"/>
  <c r="T342" i="131"/>
  <c r="W342" i="131"/>
  <c r="X26" i="131"/>
  <c r="X24" i="131"/>
  <c r="X22" i="131"/>
  <c r="U2163" i="131"/>
  <c r="U2137" i="131" s="1"/>
  <c r="X1544" i="131"/>
  <c r="X1540" i="131"/>
  <c r="V1196" i="131"/>
  <c r="V791" i="131"/>
  <c r="X356" i="131"/>
  <c r="X344" i="131"/>
  <c r="X341" i="131"/>
  <c r="X338" i="131"/>
  <c r="X336" i="131"/>
  <c r="K1173" i="131"/>
  <c r="V1858" i="131"/>
  <c r="V1822" i="131" s="1"/>
  <c r="V1821" i="131" s="1"/>
  <c r="V1648" i="131"/>
  <c r="U1609" i="131"/>
  <c r="U1608" i="131" s="1"/>
  <c r="U1234" i="131"/>
  <c r="U1233" i="131" s="1"/>
  <c r="U2407" i="131" s="1"/>
  <c r="U491" i="131"/>
  <c r="U490" i="131" s="1"/>
  <c r="X282" i="131"/>
  <c r="X32" i="131"/>
  <c r="G1043" i="131"/>
  <c r="S14" i="131"/>
  <c r="S13" i="131" s="1"/>
  <c r="S43" i="131"/>
  <c r="S42" i="131" s="1"/>
  <c r="S189" i="131"/>
  <c r="S180" i="131" s="1"/>
  <c r="S329" i="131"/>
  <c r="S1108" i="131"/>
  <c r="S1107" i="131" s="1"/>
  <c r="S1102" i="131" s="1"/>
  <c r="R1175" i="131"/>
  <c r="R1342" i="131"/>
  <c r="R1325" i="131" s="1"/>
  <c r="V2268" i="131"/>
  <c r="V2267" i="131" s="1"/>
  <c r="V2266" i="131" s="1"/>
  <c r="V2265" i="131" s="1"/>
  <c r="V2264" i="131" s="1"/>
  <c r="U1619" i="131"/>
  <c r="U1618" i="131" s="1"/>
  <c r="V1619" i="131"/>
  <c r="V1618" i="131" s="1"/>
  <c r="N1609" i="131"/>
  <c r="N1608" i="131" s="1"/>
  <c r="X1574" i="131"/>
  <c r="X1572" i="131"/>
  <c r="V1342" i="131"/>
  <c r="V1325" i="131" s="1"/>
  <c r="L603" i="131"/>
  <c r="H538" i="131"/>
  <c r="T541" i="131"/>
  <c r="V491" i="131"/>
  <c r="V490" i="131" s="1"/>
  <c r="X406" i="131"/>
  <c r="X2260" i="131"/>
  <c r="R2291" i="131"/>
  <c r="R2290" i="131" s="1"/>
  <c r="R2289" i="131" s="1"/>
  <c r="L1241" i="131"/>
  <c r="G1157" i="131"/>
  <c r="I421" i="131"/>
  <c r="J263" i="114" s="1"/>
  <c r="I435" i="131"/>
  <c r="I458" i="131"/>
  <c r="J1066" i="131"/>
  <c r="W1260" i="131"/>
  <c r="I1465" i="131"/>
  <c r="I1473" i="131"/>
  <c r="J1629" i="131"/>
  <c r="W1686" i="131"/>
  <c r="X1682" i="131"/>
  <c r="L858" i="131"/>
  <c r="L167" i="131"/>
  <c r="W503" i="131"/>
  <c r="L418" i="131"/>
  <c r="K1951" i="131"/>
  <c r="H1971" i="131"/>
  <c r="I405" i="114" s="1"/>
  <c r="I404" i="114" s="1"/>
  <c r="X2347" i="131"/>
  <c r="J110" i="114"/>
  <c r="W2292" i="131"/>
  <c r="K2293" i="131"/>
  <c r="X2294" i="131"/>
  <c r="X2019" i="131"/>
  <c r="W2017" i="131"/>
  <c r="H394" i="114"/>
  <c r="H393" i="114" s="1"/>
  <c r="S206" i="131"/>
  <c r="S205" i="131" s="1"/>
  <c r="S201" i="131" s="1"/>
  <c r="L1098" i="131"/>
  <c r="M17" i="114"/>
  <c r="H131" i="114"/>
  <c r="L1528" i="131"/>
  <c r="H1527" i="131"/>
  <c r="H1706" i="131"/>
  <c r="H1705" i="131" s="1"/>
  <c r="K47" i="114"/>
  <c r="K46" i="114" s="1"/>
  <c r="K45" i="114" s="1"/>
  <c r="J1321" i="131"/>
  <c r="J2380" i="131" s="1"/>
  <c r="L1290" i="131"/>
  <c r="K13" i="114"/>
  <c r="K12" i="114" s="1"/>
  <c r="V1522" i="131"/>
  <c r="V2389" i="131"/>
  <c r="H1103" i="131"/>
  <c r="M47" i="114"/>
  <c r="M46" i="114" s="1"/>
  <c r="M45" i="114" s="1"/>
  <c r="L1321" i="131"/>
  <c r="L2380" i="131" s="1"/>
  <c r="L1446" i="131"/>
  <c r="K116" i="131"/>
  <c r="L1447" i="131"/>
  <c r="K1879" i="131"/>
  <c r="L361" i="114" s="1"/>
  <c r="L360" i="114" s="1"/>
  <c r="G1878" i="131"/>
  <c r="G1877" i="131" s="1"/>
  <c r="I110" i="114"/>
  <c r="L399" i="131"/>
  <c r="I250" i="114"/>
  <c r="I135" i="114"/>
  <c r="H1770" i="131"/>
  <c r="I1222" i="131"/>
  <c r="I76" i="114"/>
  <c r="I75" i="114" s="1"/>
  <c r="H754" i="131"/>
  <c r="J175" i="114"/>
  <c r="J174" i="114" s="1"/>
  <c r="H173" i="114"/>
  <c r="K1035" i="131"/>
  <c r="L559" i="131"/>
  <c r="K245" i="114"/>
  <c r="L392" i="131"/>
  <c r="X330" i="131"/>
  <c r="K189" i="114"/>
  <c r="H1034" i="131"/>
  <c r="I173" i="114"/>
  <c r="I172" i="114" s="1"/>
  <c r="I171" i="114" s="1"/>
  <c r="T1765" i="131"/>
  <c r="G1764" i="131"/>
  <c r="X53" i="131"/>
  <c r="M53" i="131"/>
  <c r="M55" i="131"/>
  <c r="X55" i="131"/>
  <c r="M71" i="131"/>
  <c r="X71" i="131"/>
  <c r="I190" i="131"/>
  <c r="K191" i="131"/>
  <c r="M191" i="131" s="1"/>
  <c r="I407" i="131"/>
  <c r="W408" i="131"/>
  <c r="I717" i="131"/>
  <c r="K718" i="131"/>
  <c r="M718" i="131" s="1"/>
  <c r="J1532" i="131"/>
  <c r="L1533" i="131"/>
  <c r="J1550" i="131"/>
  <c r="L1551" i="131"/>
  <c r="I1637" i="131"/>
  <c r="K1638" i="131"/>
  <c r="J1770" i="131"/>
  <c r="K292" i="114"/>
  <c r="K291" i="114" s="1"/>
  <c r="I1825" i="131"/>
  <c r="K1826" i="131"/>
  <c r="I1837" i="131"/>
  <c r="K1838" i="131"/>
  <c r="M159" i="131"/>
  <c r="X159" i="131"/>
  <c r="M188" i="131"/>
  <c r="X188" i="131"/>
  <c r="M221" i="131"/>
  <c r="X221" i="131"/>
  <c r="M270" i="131"/>
  <c r="X270" i="131"/>
  <c r="X310" i="131"/>
  <c r="M310" i="131"/>
  <c r="M339" i="131"/>
  <c r="X339" i="131"/>
  <c r="M1460" i="131"/>
  <c r="X1460" i="131"/>
  <c r="M1518" i="131"/>
  <c r="X1518" i="131"/>
  <c r="X1542" i="131"/>
  <c r="M1568" i="131"/>
  <c r="X1568" i="131"/>
  <c r="M1571" i="131"/>
  <c r="X1571" i="131"/>
  <c r="M1573" i="131"/>
  <c r="X1573" i="131"/>
  <c r="M1589" i="131"/>
  <c r="X1589" i="131"/>
  <c r="H326" i="131"/>
  <c r="H322" i="131" s="1"/>
  <c r="L327" i="131"/>
  <c r="H207" i="131"/>
  <c r="L208" i="131"/>
  <c r="G202" i="131"/>
  <c r="K202" i="131" s="1"/>
  <c r="K203" i="131"/>
  <c r="G655" i="131"/>
  <c r="K656" i="131"/>
  <c r="H665" i="131"/>
  <c r="L666" i="131"/>
  <c r="H1168" i="131"/>
  <c r="L1169" i="131"/>
  <c r="I181" i="131"/>
  <c r="J196" i="114"/>
  <c r="K1642" i="131"/>
  <c r="T1642" i="131"/>
  <c r="G1179" i="131"/>
  <c r="K1180" i="131"/>
  <c r="W1180" i="131"/>
  <c r="T1180" i="131"/>
  <c r="W972" i="131"/>
  <c r="G971" i="131"/>
  <c r="U1774" i="131"/>
  <c r="U1769" i="131" s="1"/>
  <c r="U1768" i="131" s="1"/>
  <c r="X349" i="131"/>
  <c r="X347" i="131"/>
  <c r="X345" i="131"/>
  <c r="K183" i="131"/>
  <c r="M183" i="131" s="1"/>
  <c r="V112" i="131"/>
  <c r="M761" i="131"/>
  <c r="X761" i="131"/>
  <c r="K1189" i="131"/>
  <c r="L260" i="114"/>
  <c r="X1086" i="131"/>
  <c r="X1014" i="131"/>
  <c r="X981" i="131"/>
  <c r="X973" i="131"/>
  <c r="X548" i="131"/>
  <c r="X331" i="131"/>
  <c r="X230" i="131"/>
  <c r="X58" i="131"/>
  <c r="W1190" i="131"/>
  <c r="X945" i="131"/>
  <c r="X896" i="131"/>
  <c r="X592" i="131"/>
  <c r="X451" i="131"/>
  <c r="X1797" i="131"/>
  <c r="T1686" i="131"/>
  <c r="K1686" i="131"/>
  <c r="M1686" i="131" s="1"/>
  <c r="I1674" i="131"/>
  <c r="J51" i="114" s="1"/>
  <c r="X1654" i="131"/>
  <c r="T1260" i="131"/>
  <c r="K1260" i="131"/>
  <c r="X1261" i="131"/>
  <c r="W1248" i="131"/>
  <c r="T1189" i="131"/>
  <c r="K1190" i="131"/>
  <c r="W1189" i="131"/>
  <c r="T1190" i="131"/>
  <c r="J295" i="114"/>
  <c r="K1182" i="131"/>
  <c r="M1182" i="131" s="1"/>
  <c r="G396" i="131"/>
  <c r="K397" i="131"/>
  <c r="M397" i="131" s="1"/>
  <c r="H133" i="114"/>
  <c r="L133" i="114" s="1"/>
  <c r="L134" i="114"/>
  <c r="L485" i="131"/>
  <c r="H484" i="131"/>
  <c r="M887" i="131"/>
  <c r="I389" i="114"/>
  <c r="H108" i="131"/>
  <c r="H239" i="114"/>
  <c r="L190" i="131"/>
  <c r="H189" i="131"/>
  <c r="V2401" i="131"/>
  <c r="I106" i="114"/>
  <c r="H100" i="131"/>
  <c r="L101" i="131"/>
  <c r="S2401" i="131"/>
  <c r="I185" i="131"/>
  <c r="J212" i="131"/>
  <c r="L213" i="131"/>
  <c r="J318" i="131"/>
  <c r="L319" i="131"/>
  <c r="K452" i="131"/>
  <c r="T452" i="131"/>
  <c r="K193" i="131"/>
  <c r="M193" i="131" s="1"/>
  <c r="H312" i="131"/>
  <c r="L313" i="131"/>
  <c r="K194" i="131"/>
  <c r="M194" i="131" s="1"/>
  <c r="I60" i="114"/>
  <c r="I59" i="114" s="1"/>
  <c r="J272" i="114"/>
  <c r="J271" i="114" s="1"/>
  <c r="L899" i="131"/>
  <c r="J898" i="131"/>
  <c r="L898" i="131" s="1"/>
  <c r="K173" i="114"/>
  <c r="J1034" i="131"/>
  <c r="J162" i="114"/>
  <c r="M836" i="131"/>
  <c r="I551" i="131"/>
  <c r="M547" i="131"/>
  <c r="J250" i="114"/>
  <c r="K646" i="131"/>
  <c r="W452" i="131"/>
  <c r="H463" i="131"/>
  <c r="L464" i="131"/>
  <c r="G455" i="131"/>
  <c r="T456" i="131"/>
  <c r="K456" i="131"/>
  <c r="I92" i="114"/>
  <c r="I91" i="114" s="1"/>
  <c r="J294" i="114"/>
  <c r="I668" i="131"/>
  <c r="K647" i="131"/>
  <c r="R984" i="131"/>
  <c r="R983" i="131" s="1"/>
  <c r="X815" i="131"/>
  <c r="X914" i="131"/>
  <c r="X816" i="131"/>
  <c r="X814" i="131"/>
  <c r="X705" i="131"/>
  <c r="X388" i="131"/>
  <c r="F90" i="1"/>
  <c r="AK289" i="1"/>
  <c r="AK225" i="1"/>
  <c r="F199" i="1"/>
  <c r="D312" i="1"/>
  <c r="AK313" i="1"/>
  <c r="AK219" i="1"/>
  <c r="AJ248" i="1"/>
  <c r="AJ247" i="1" s="1"/>
  <c r="AK256" i="1"/>
  <c r="AK217" i="1"/>
  <c r="AK312" i="1" s="1"/>
  <c r="AK57" i="1"/>
  <c r="AK46" i="1"/>
  <c r="AK118" i="1"/>
  <c r="D9" i="1"/>
  <c r="F73" i="1"/>
  <c r="AK309" i="1"/>
  <c r="F45" i="1"/>
  <c r="AK274" i="1"/>
  <c r="AJ312" i="1"/>
  <c r="AK228" i="1"/>
  <c r="AK203" i="1"/>
  <c r="AK163" i="1"/>
  <c r="F60" i="1"/>
  <c r="F108" i="1"/>
  <c r="E248" i="1"/>
  <c r="E247" i="1" s="1"/>
  <c r="AK285" i="1"/>
  <c r="F292" i="1"/>
  <c r="F291" i="1" s="1"/>
  <c r="F203" i="1"/>
  <c r="AK85" i="1"/>
  <c r="E132" i="121"/>
  <c r="E135" i="121"/>
  <c r="D131" i="121"/>
  <c r="X429" i="131"/>
  <c r="G2327" i="131"/>
  <c r="H127" i="114"/>
  <c r="K2285" i="131"/>
  <c r="G2284" i="131"/>
  <c r="K2286" i="131"/>
  <c r="G1985" i="131"/>
  <c r="W1715" i="131"/>
  <c r="G1710" i="131"/>
  <c r="G1704" i="131" s="1"/>
  <c r="W1612" i="131"/>
  <c r="T1612" i="131"/>
  <c r="X1611" i="131"/>
  <c r="X1566" i="131"/>
  <c r="G1497" i="131"/>
  <c r="K1371" i="131"/>
  <c r="T1371" i="131"/>
  <c r="X1372" i="131"/>
  <c r="H47" i="114"/>
  <c r="H46" i="114" s="1"/>
  <c r="H45" i="114" s="1"/>
  <c r="G1321" i="131"/>
  <c r="K1112" i="131"/>
  <c r="M1112" i="131" s="1"/>
  <c r="H17" i="114"/>
  <c r="H16" i="114" s="1"/>
  <c r="G1098" i="131"/>
  <c r="X929" i="131"/>
  <c r="H857" i="131"/>
  <c r="G856" i="131"/>
  <c r="X829" i="131"/>
  <c r="T741" i="131"/>
  <c r="W741" i="131"/>
  <c r="G720" i="131"/>
  <c r="K728" i="131"/>
  <c r="G2370" i="131"/>
  <c r="P2370" i="131" s="1"/>
  <c r="T728" i="131"/>
  <c r="X729" i="131"/>
  <c r="G590" i="131"/>
  <c r="T594" i="131"/>
  <c r="K580" i="131"/>
  <c r="G569" i="131"/>
  <c r="W570" i="131"/>
  <c r="T570" i="131"/>
  <c r="X571" i="131"/>
  <c r="L272" i="114"/>
  <c r="L271" i="114" s="1"/>
  <c r="H272" i="114"/>
  <c r="H271" i="114" s="1"/>
  <c r="L261" i="114"/>
  <c r="K417" i="131"/>
  <c r="X368" i="131"/>
  <c r="H360" i="131"/>
  <c r="H359" i="131" s="1"/>
  <c r="I268" i="114"/>
  <c r="I267" i="114" s="1"/>
  <c r="L360" i="131"/>
  <c r="L359" i="131" s="1"/>
  <c r="L358" i="131" s="1"/>
  <c r="H268" i="114"/>
  <c r="H267" i="114" s="1"/>
  <c r="T295" i="131"/>
  <c r="K295" i="131"/>
  <c r="G42" i="131"/>
  <c r="X29" i="131"/>
  <c r="F30" i="1"/>
  <c r="AK76" i="1"/>
  <c r="AK94" i="1"/>
  <c r="F113" i="1"/>
  <c r="F112" i="1" s="1"/>
  <c r="AK308" i="1"/>
  <c r="D227" i="1"/>
  <c r="F227" i="1" s="1"/>
  <c r="F264" i="1"/>
  <c r="F311" i="1" s="1"/>
  <c r="AK305" i="1"/>
  <c r="D247" i="1"/>
  <c r="D237" i="1"/>
  <c r="D236" i="1" s="1"/>
  <c r="F202" i="1"/>
  <c r="F200" i="1"/>
  <c r="AK165" i="1"/>
  <c r="F166" i="1"/>
  <c r="G123" i="1"/>
  <c r="AJ314" i="1"/>
  <c r="F109" i="1"/>
  <c r="D89" i="1"/>
  <c r="AK89" i="1" s="1"/>
  <c r="F86" i="1"/>
  <c r="F72" i="1"/>
  <c r="AK19" i="1"/>
  <c r="AK311" i="1"/>
  <c r="AK14" i="1"/>
  <c r="AK211" i="1"/>
  <c r="F211" i="1"/>
  <c r="D162" i="1"/>
  <c r="AK196" i="1"/>
  <c r="AK79" i="1"/>
  <c r="F14" i="1"/>
  <c r="F9" i="1" s="1"/>
  <c r="E9" i="1"/>
  <c r="AJ25" i="1"/>
  <c r="AK25" i="1" s="1"/>
  <c r="AK26" i="1"/>
  <c r="AK72" i="1"/>
  <c r="F39" i="1"/>
  <c r="AK212" i="1"/>
  <c r="F212" i="1"/>
  <c r="I309" i="1"/>
  <c r="F25" i="1"/>
  <c r="E115" i="1"/>
  <c r="F40" i="1"/>
  <c r="F34" i="1"/>
  <c r="F80" i="1"/>
  <c r="F240" i="1"/>
  <c r="F237" i="1" s="1"/>
  <c r="AK202" i="1"/>
  <c r="F83" i="1"/>
  <c r="AK310" i="1"/>
  <c r="F249" i="1"/>
  <c r="F305" i="1" s="1"/>
  <c r="AK82" i="1"/>
  <c r="AK22" i="1"/>
  <c r="AK242" i="1"/>
  <c r="F233" i="1"/>
  <c r="E89" i="1"/>
  <c r="AJ162" i="1"/>
  <c r="F46" i="1"/>
  <c r="E165" i="1"/>
  <c r="E162" i="1" s="1"/>
  <c r="AK73" i="1"/>
  <c r="AK197" i="1"/>
  <c r="F96" i="1"/>
  <c r="D48" i="1"/>
  <c r="F48" i="1" s="1"/>
  <c r="E85" i="1"/>
  <c r="F85" i="1" s="1"/>
  <c r="F61" i="1"/>
  <c r="F119" i="1"/>
  <c r="H131" i="1"/>
  <c r="G162" i="1"/>
  <c r="AJ237" i="1"/>
  <c r="AJ236" i="1" s="1"/>
  <c r="AK15" i="1"/>
  <c r="F55" i="1"/>
  <c r="F67" i="1"/>
  <c r="F66" i="1" s="1"/>
  <c r="F228" i="1"/>
  <c r="AK45" i="1"/>
  <c r="F118" i="1"/>
  <c r="N2408" i="131"/>
  <c r="V1220" i="131"/>
  <c r="N1232" i="131"/>
  <c r="S2036" i="131"/>
  <c r="S2399" i="131"/>
  <c r="R2448" i="131"/>
  <c r="N1737" i="131"/>
  <c r="V2324" i="131"/>
  <c r="M330" i="114"/>
  <c r="M329" i="114" s="1"/>
  <c r="S2265" i="131"/>
  <c r="S2264" i="131" s="1"/>
  <c r="L1515" i="131"/>
  <c r="H2282" i="131"/>
  <c r="F67" i="36"/>
  <c r="M730" i="131"/>
  <c r="F224" i="1"/>
  <c r="R2059" i="131"/>
  <c r="F286" i="1"/>
  <c r="F285" i="1" s="1"/>
  <c r="D278" i="1"/>
  <c r="AK279" i="1"/>
  <c r="AK99" i="1"/>
  <c r="C3" i="273"/>
  <c r="U1985" i="131"/>
  <c r="U1889" i="131" s="1"/>
  <c r="V2370" i="131"/>
  <c r="AK43" i="1"/>
  <c r="AJ42" i="1"/>
  <c r="V1774" i="131"/>
  <c r="U1066" i="131"/>
  <c r="U1065" i="131" s="1"/>
  <c r="U1064" i="131" s="1"/>
  <c r="U1063" i="131" s="1"/>
  <c r="AJ9" i="1"/>
  <c r="U1710" i="131"/>
  <c r="U1704" i="131" s="1"/>
  <c r="U1553" i="131"/>
  <c r="AK291" i="1"/>
  <c r="K273" i="131"/>
  <c r="R2227" i="131"/>
  <c r="R2226" i="131" s="1"/>
  <c r="AK12" i="1"/>
  <c r="F99" i="1"/>
  <c r="F196" i="1"/>
  <c r="L1375" i="131"/>
  <c r="F26" i="1"/>
  <c r="F57" i="1"/>
  <c r="F79" i="1"/>
  <c r="F105" i="1"/>
  <c r="F218" i="1"/>
  <c r="AK103" i="1"/>
  <c r="AJ102" i="1"/>
  <c r="AK102" i="1" s="1"/>
  <c r="K2123" i="131"/>
  <c r="M1665" i="131" l="1"/>
  <c r="T2177" i="131"/>
  <c r="J2451" i="131"/>
  <c r="R226" i="131"/>
  <c r="R225" i="131" s="1"/>
  <c r="R224" i="131" s="1"/>
  <c r="R2471" i="131" s="1"/>
  <c r="R2454" i="131"/>
  <c r="R2455" i="131" s="1"/>
  <c r="K1814" i="131"/>
  <c r="M1814" i="131" s="1"/>
  <c r="V226" i="131"/>
  <c r="V225" i="131" s="1"/>
  <c r="I165" i="114"/>
  <c r="I164" i="114" s="1"/>
  <c r="X2292" i="131"/>
  <c r="K54" i="114"/>
  <c r="K53" i="114" s="1"/>
  <c r="K52" i="114" s="1"/>
  <c r="T1609" i="131"/>
  <c r="K2176" i="131"/>
  <c r="M2176" i="131" s="1"/>
  <c r="H90" i="114"/>
  <c r="J401" i="114"/>
  <c r="L1814" i="131"/>
  <c r="W812" i="131"/>
  <c r="K119" i="114"/>
  <c r="K118" i="114" s="1"/>
  <c r="X1077" i="131"/>
  <c r="W2213" i="131"/>
  <c r="S226" i="131"/>
  <c r="S225" i="131" s="1"/>
  <c r="I2105" i="131"/>
  <c r="I2104" i="131" s="1"/>
  <c r="L326" i="114"/>
  <c r="S426" i="131"/>
  <c r="W1774" i="131"/>
  <c r="K1586" i="131"/>
  <c r="K631" i="131"/>
  <c r="M631" i="131" s="1"/>
  <c r="L1985" i="131"/>
  <c r="V2383" i="131"/>
  <c r="V689" i="131"/>
  <c r="V2441" i="131" s="1"/>
  <c r="R805" i="131"/>
  <c r="R2433" i="131" s="1"/>
  <c r="L1586" i="131"/>
  <c r="X836" i="131"/>
  <c r="K1048" i="131"/>
  <c r="S624" i="131"/>
  <c r="S611" i="131" s="1"/>
  <c r="K2268" i="131"/>
  <c r="M2268" i="131" s="1"/>
  <c r="L458" i="131"/>
  <c r="K259" i="114"/>
  <c r="K258" i="114" s="1"/>
  <c r="K376" i="131"/>
  <c r="M376" i="131" s="1"/>
  <c r="L1502" i="131"/>
  <c r="W780" i="131"/>
  <c r="X2271" i="131"/>
  <c r="L1342" i="131"/>
  <c r="G1585" i="131"/>
  <c r="G2362" i="131"/>
  <c r="K1492" i="131"/>
  <c r="T491" i="131"/>
  <c r="V2174" i="131"/>
  <c r="V2173" i="131" s="1"/>
  <c r="T329" i="131"/>
  <c r="W904" i="131"/>
  <c r="J35" i="114"/>
  <c r="L35" i="114" s="1"/>
  <c r="K780" i="131"/>
  <c r="W427" i="131"/>
  <c r="V1670" i="131"/>
  <c r="L720" i="131"/>
  <c r="K1076" i="131"/>
  <c r="M1076" i="131" s="1"/>
  <c r="I1151" i="131"/>
  <c r="I776" i="131"/>
  <c r="T1553" i="131"/>
  <c r="V1288" i="131"/>
  <c r="T780" i="131"/>
  <c r="I1608" i="131"/>
  <c r="K1608" i="131" s="1"/>
  <c r="K2454" i="131" s="1"/>
  <c r="K2455" i="131" s="1"/>
  <c r="K371" i="131"/>
  <c r="M371" i="131" s="1"/>
  <c r="K2130" i="131"/>
  <c r="L342" i="114" s="1"/>
  <c r="L341" i="114" s="1"/>
  <c r="K1872" i="131"/>
  <c r="W1858" i="131"/>
  <c r="W1732" i="131"/>
  <c r="W749" i="131"/>
  <c r="G537" i="131"/>
  <c r="G536" i="131" s="1"/>
  <c r="G535" i="131" s="1"/>
  <c r="W594" i="131"/>
  <c r="I590" i="131"/>
  <c r="J82" i="114" s="1"/>
  <c r="J81" i="114" s="1"/>
  <c r="R689" i="131"/>
  <c r="J215" i="114"/>
  <c r="J214" i="114" s="1"/>
  <c r="K1828" i="131"/>
  <c r="L215" i="114" s="1"/>
  <c r="L214" i="114" s="1"/>
  <c r="K1553" i="131"/>
  <c r="M1553" i="131" s="1"/>
  <c r="S897" i="131"/>
  <c r="L1619" i="131"/>
  <c r="L749" i="131"/>
  <c r="X254" i="131"/>
  <c r="X1741" i="131"/>
  <c r="I316" i="114"/>
  <c r="I315" i="114" s="1"/>
  <c r="I314" i="114" s="1"/>
  <c r="X1792" i="131"/>
  <c r="T1502" i="131"/>
  <c r="L2319" i="131"/>
  <c r="W1872" i="131"/>
  <c r="G748" i="131"/>
  <c r="X586" i="131"/>
  <c r="S211" i="131"/>
  <c r="S210" i="131" s="1"/>
  <c r="H251" i="114"/>
  <c r="X2008" i="131"/>
  <c r="H748" i="131"/>
  <c r="H747" i="131" s="1"/>
  <c r="H746" i="131" s="1"/>
  <c r="H745" i="131" s="1"/>
  <c r="L1648" i="131"/>
  <c r="X2166" i="131"/>
  <c r="R897" i="131"/>
  <c r="S489" i="131"/>
  <c r="S488" i="131" s="1"/>
  <c r="L2297" i="131"/>
  <c r="T749" i="131"/>
  <c r="K952" i="131"/>
  <c r="U2437" i="131"/>
  <c r="F248" i="1"/>
  <c r="J2038" i="131"/>
  <c r="T402" i="131"/>
  <c r="H2176" i="131"/>
  <c r="L2176" i="131" s="1"/>
  <c r="I2408" i="131"/>
  <c r="E10" i="36" s="1"/>
  <c r="I12" i="131"/>
  <c r="I11" i="131" s="1"/>
  <c r="I2468" i="131" s="1"/>
  <c r="U568" i="131"/>
  <c r="R426" i="131"/>
  <c r="X578" i="131"/>
  <c r="X367" i="131"/>
  <c r="H1432" i="131"/>
  <c r="X351" i="131"/>
  <c r="X2309" i="131"/>
  <c r="G2138" i="131"/>
  <c r="G2137" i="131" s="1"/>
  <c r="G2136" i="131" s="1"/>
  <c r="W1340" i="131"/>
  <c r="X374" i="131"/>
  <c r="I2451" i="131"/>
  <c r="K2258" i="131"/>
  <c r="I2248" i="131"/>
  <c r="K38" i="114"/>
  <c r="X2200" i="131"/>
  <c r="X1663" i="131"/>
  <c r="H2248" i="131"/>
  <c r="M1663" i="131"/>
  <c r="I2138" i="131"/>
  <c r="K2151" i="131"/>
  <c r="M2151" i="131" s="1"/>
  <c r="J2071" i="131"/>
  <c r="J2397" i="131" s="1"/>
  <c r="M1795" i="131"/>
  <c r="K1774" i="131"/>
  <c r="M1774" i="131" s="1"/>
  <c r="H2180" i="131"/>
  <c r="L1774" i="131"/>
  <c r="L1851" i="131"/>
  <c r="M231" i="114" s="1"/>
  <c r="M230" i="114" s="1"/>
  <c r="J2138" i="131"/>
  <c r="J2137" i="131" s="1"/>
  <c r="L1524" i="131"/>
  <c r="J283" i="114"/>
  <c r="J280" i="114" s="1"/>
  <c r="X405" i="131"/>
  <c r="K1971" i="131"/>
  <c r="M41" i="114"/>
  <c r="S2059" i="131"/>
  <c r="S2035" i="131" s="1"/>
  <c r="K1340" i="131"/>
  <c r="M1340" i="131" s="1"/>
  <c r="X2000" i="131"/>
  <c r="X570" i="131"/>
  <c r="X1983" i="131"/>
  <c r="W1339" i="131"/>
  <c r="X2012" i="131"/>
  <c r="X1755" i="131"/>
  <c r="X2033" i="131"/>
  <c r="X1996" i="131"/>
  <c r="X1010" i="131"/>
  <c r="X1280" i="131"/>
  <c r="X237" i="131"/>
  <c r="X340" i="131"/>
  <c r="H2059" i="131"/>
  <c r="L344" i="114"/>
  <c r="V285" i="131"/>
  <c r="V284" i="131" s="1"/>
  <c r="K1450" i="131"/>
  <c r="M1450" i="131" s="1"/>
  <c r="K113" i="114"/>
  <c r="K112" i="114" s="1"/>
  <c r="K2466" i="131"/>
  <c r="I1497" i="131"/>
  <c r="W1497" i="131" s="1"/>
  <c r="H1912" i="131"/>
  <c r="K1771" i="131"/>
  <c r="L292" i="114" s="1"/>
  <c r="L291" i="114" s="1"/>
  <c r="I1903" i="131"/>
  <c r="K1903" i="131" s="1"/>
  <c r="K1359" i="131"/>
  <c r="W791" i="131"/>
  <c r="K2180" i="131"/>
  <c r="M2180" i="131" s="1"/>
  <c r="K159" i="114"/>
  <c r="K158" i="114" s="1"/>
  <c r="V568" i="131"/>
  <c r="J1890" i="131"/>
  <c r="J2388" i="131" s="1"/>
  <c r="W1450" i="131"/>
  <c r="V2437" i="131"/>
  <c r="I611" i="131"/>
  <c r="I1912" i="131"/>
  <c r="V1482" i="131"/>
  <c r="L2249" i="131"/>
  <c r="M288" i="114" s="1"/>
  <c r="V1015" i="131"/>
  <c r="V2435" i="131" s="1"/>
  <c r="K2304" i="131"/>
  <c r="M2304" i="131" s="1"/>
  <c r="S568" i="131"/>
  <c r="X2178" i="131"/>
  <c r="U2427" i="131"/>
  <c r="M2292" i="131"/>
  <c r="V2381" i="131"/>
  <c r="X2017" i="131"/>
  <c r="K31" i="114"/>
  <c r="L2154" i="131"/>
  <c r="W1629" i="131"/>
  <c r="K372" i="114"/>
  <c r="K371" i="114" s="1"/>
  <c r="K370" i="114" s="1"/>
  <c r="H885" i="131"/>
  <c r="U689" i="131"/>
  <c r="U2441" i="131" s="1"/>
  <c r="J863" i="131"/>
  <c r="J1912" i="131"/>
  <c r="J1907" i="131" s="1"/>
  <c r="K1721" i="131"/>
  <c r="I2392" i="131"/>
  <c r="P42" i="114" s="1"/>
  <c r="X1745" i="131"/>
  <c r="X1789" i="131"/>
  <c r="S2443" i="131"/>
  <c r="S2444" i="131" s="1"/>
  <c r="W1532" i="131"/>
  <c r="X1624" i="131"/>
  <c r="T1721" i="131"/>
  <c r="X830" i="131"/>
  <c r="K381" i="114"/>
  <c r="M381" i="114" s="1"/>
  <c r="X1554" i="131"/>
  <c r="X774" i="131"/>
  <c r="X1085" i="131"/>
  <c r="J304" i="114"/>
  <c r="J147" i="114"/>
  <c r="J146" i="114" s="1"/>
  <c r="L146" i="114" s="1"/>
  <c r="J296" i="114"/>
  <c r="K1734" i="131"/>
  <c r="M1734" i="131" s="1"/>
  <c r="W1733" i="131"/>
  <c r="C67" i="36"/>
  <c r="X1525" i="131"/>
  <c r="X1729" i="131"/>
  <c r="T1734" i="131"/>
  <c r="T1733" i="131"/>
  <c r="W1734" i="131"/>
  <c r="K1733" i="131"/>
  <c r="M1733" i="131" s="1"/>
  <c r="T1864" i="131"/>
  <c r="X1783" i="131"/>
  <c r="X1564" i="131"/>
  <c r="X1807" i="131"/>
  <c r="G1410" i="131"/>
  <c r="G1409" i="131" s="1"/>
  <c r="W1721" i="131"/>
  <c r="I1770" i="131"/>
  <c r="I1769" i="131" s="1"/>
  <c r="I1768" i="131" s="1"/>
  <c r="K1533" i="131"/>
  <c r="M1533" i="131" s="1"/>
  <c r="J242" i="114"/>
  <c r="L242" i="114" s="1"/>
  <c r="G1720" i="131"/>
  <c r="T1720" i="131" s="1"/>
  <c r="E64" i="36"/>
  <c r="E63" i="36" s="1"/>
  <c r="J292" i="114"/>
  <c r="J291" i="114" s="1"/>
  <c r="M1789" i="131"/>
  <c r="X1375" i="131"/>
  <c r="X1614" i="131"/>
  <c r="X1762" i="131"/>
  <c r="X998" i="131"/>
  <c r="K389" i="131"/>
  <c r="X1653" i="131"/>
  <c r="K1641" i="131"/>
  <c r="M1641" i="131" s="1"/>
  <c r="X1212" i="131"/>
  <c r="L1443" i="131"/>
  <c r="J1523" i="131"/>
  <c r="L1523" i="131" s="1"/>
  <c r="L2389" i="131" s="1"/>
  <c r="X1539" i="131"/>
  <c r="X1625" i="131"/>
  <c r="X1753" i="131"/>
  <c r="L1641" i="131"/>
  <c r="I2404" i="131"/>
  <c r="K150" i="114"/>
  <c r="K149" i="114" s="1"/>
  <c r="X1735" i="131"/>
  <c r="K1339" i="131"/>
  <c r="M1339" i="131" s="1"/>
  <c r="X1751" i="131"/>
  <c r="X1597" i="131"/>
  <c r="X1519" i="131"/>
  <c r="X1457" i="131"/>
  <c r="X1343" i="131"/>
  <c r="L1764" i="131"/>
  <c r="H2404" i="131"/>
  <c r="I1739" i="131"/>
  <c r="I1738" i="131" s="1"/>
  <c r="I1737" i="131" s="1"/>
  <c r="T645" i="131"/>
  <c r="H282" i="114"/>
  <c r="H280" i="114" s="1"/>
  <c r="I1522" i="131"/>
  <c r="I1521" i="131" s="1"/>
  <c r="G2454" i="131"/>
  <c r="G2455" i="131" s="1"/>
  <c r="L692" i="131"/>
  <c r="M92" i="114" s="1"/>
  <c r="M91" i="114" s="1"/>
  <c r="K669" i="131"/>
  <c r="M1564" i="131"/>
  <c r="K1563" i="131"/>
  <c r="M1563" i="131" s="1"/>
  <c r="L1563" i="131"/>
  <c r="K1527" i="131"/>
  <c r="W762" i="131"/>
  <c r="X1453" i="131"/>
  <c r="K848" i="131"/>
  <c r="M848" i="131" s="1"/>
  <c r="X1661" i="131"/>
  <c r="T791" i="131"/>
  <c r="W1586" i="131"/>
  <c r="X1586" i="131" s="1"/>
  <c r="J113" i="114"/>
  <c r="J112" i="114" s="1"/>
  <c r="T1586" i="131"/>
  <c r="K1034" i="131"/>
  <c r="X1034" i="131" s="1"/>
  <c r="M1329" i="131"/>
  <c r="X231" i="131"/>
  <c r="X1329" i="131"/>
  <c r="X1365" i="131"/>
  <c r="X1371" i="131"/>
  <c r="K163" i="114"/>
  <c r="M163" i="114" s="1"/>
  <c r="G1425" i="131"/>
  <c r="W1425" i="131" s="1"/>
  <c r="H402" i="114"/>
  <c r="L1509" i="131"/>
  <c r="X1543" i="131"/>
  <c r="K1441" i="131"/>
  <c r="K1510" i="131"/>
  <c r="M1510" i="131" s="1"/>
  <c r="L1440" i="131"/>
  <c r="I16" i="114"/>
  <c r="X591" i="131"/>
  <c r="L1416" i="131"/>
  <c r="M764" i="131"/>
  <c r="X453" i="131"/>
  <c r="M1365" i="131"/>
  <c r="X778" i="131"/>
  <c r="W807" i="131"/>
  <c r="X752" i="131"/>
  <c r="X379" i="131"/>
  <c r="I1325" i="131"/>
  <c r="X1028" i="131"/>
  <c r="L1248" i="131"/>
  <c r="V805" i="131"/>
  <c r="V2433" i="131" s="1"/>
  <c r="X879" i="131"/>
  <c r="K1248" i="131"/>
  <c r="M1248" i="131" s="1"/>
  <c r="L1234" i="131"/>
  <c r="X1019" i="131"/>
  <c r="J135" i="114"/>
  <c r="L135" i="114" s="1"/>
  <c r="J89" i="114"/>
  <c r="J88" i="114" s="1"/>
  <c r="M1238" i="131"/>
  <c r="K1234" i="131"/>
  <c r="M1234" i="131" s="1"/>
  <c r="L1196" i="131"/>
  <c r="X919" i="131"/>
  <c r="K2375" i="131"/>
  <c r="M1203" i="131"/>
  <c r="K1196" i="131"/>
  <c r="M1196" i="131" s="1"/>
  <c r="G668" i="131"/>
  <c r="T668" i="131" s="1"/>
  <c r="I317" i="114"/>
  <c r="O317" i="114" s="1"/>
  <c r="T552" i="131"/>
  <c r="X393" i="131"/>
  <c r="K552" i="131"/>
  <c r="L528" i="131"/>
  <c r="T669" i="131"/>
  <c r="H294" i="114"/>
  <c r="H293" i="114" s="1"/>
  <c r="X459" i="131"/>
  <c r="U1097" i="131"/>
  <c r="U2438" i="131" s="1"/>
  <c r="X1203" i="131"/>
  <c r="W443" i="131"/>
  <c r="X996" i="131"/>
  <c r="X764" i="131"/>
  <c r="X1229" i="131"/>
  <c r="X1125" i="131"/>
  <c r="M133" i="114"/>
  <c r="X763" i="131"/>
  <c r="K754" i="131"/>
  <c r="M754" i="131" s="1"/>
  <c r="K1031" i="131"/>
  <c r="M1031" i="131" s="1"/>
  <c r="G1017" i="131"/>
  <c r="G1016" i="131" s="1"/>
  <c r="W1031" i="131"/>
  <c r="W552" i="131"/>
  <c r="X600" i="131"/>
  <c r="T319" i="131"/>
  <c r="U747" i="131"/>
  <c r="U746" i="131" s="1"/>
  <c r="U745" i="131" s="1"/>
  <c r="K1157" i="131"/>
  <c r="X520" i="131"/>
  <c r="X503" i="131"/>
  <c r="K807" i="131"/>
  <c r="M807" i="131" s="1"/>
  <c r="T762" i="131"/>
  <c r="X760" i="131"/>
  <c r="X637" i="131"/>
  <c r="X473" i="131"/>
  <c r="L904" i="131"/>
  <c r="K514" i="131"/>
  <c r="M514" i="131" s="1"/>
  <c r="T514" i="131"/>
  <c r="X766" i="131"/>
  <c r="W806" i="131"/>
  <c r="K762" i="131"/>
  <c r="X961" i="131"/>
  <c r="X463" i="131"/>
  <c r="K443" i="131"/>
  <c r="X980" i="131"/>
  <c r="T904" i="131"/>
  <c r="M910" i="131"/>
  <c r="K904" i="131"/>
  <c r="M879" i="131"/>
  <c r="K863" i="131"/>
  <c r="L863" i="131"/>
  <c r="G758" i="131"/>
  <c r="X808" i="131"/>
  <c r="J76" i="114"/>
  <c r="J75" i="114" s="1"/>
  <c r="K206" i="131"/>
  <c r="M206" i="131" s="1"/>
  <c r="W502" i="131"/>
  <c r="X502" i="131" s="1"/>
  <c r="W759" i="131"/>
  <c r="X759" i="131" s="1"/>
  <c r="T502" i="131"/>
  <c r="K755" i="131"/>
  <c r="M755" i="131" s="1"/>
  <c r="M405" i="114"/>
  <c r="M404" i="114" s="1"/>
  <c r="S2436" i="131"/>
  <c r="T979" i="131"/>
  <c r="I1038" i="131"/>
  <c r="J31" i="114"/>
  <c r="J29" i="114" s="1"/>
  <c r="H1585" i="131"/>
  <c r="H31" i="114"/>
  <c r="R1482" i="131"/>
  <c r="T631" i="131"/>
  <c r="L677" i="131"/>
  <c r="W863" i="131"/>
  <c r="X2048" i="131"/>
  <c r="I113" i="114"/>
  <c r="I112" i="114" s="1"/>
  <c r="K806" i="131"/>
  <c r="H101" i="114"/>
  <c r="H100" i="114" s="1"/>
  <c r="H99" i="114" s="1"/>
  <c r="V1535" i="131"/>
  <c r="V2446" i="131" s="1"/>
  <c r="V2449" i="131" s="1"/>
  <c r="S1535" i="131"/>
  <c r="S1530" i="131" s="1"/>
  <c r="L2163" i="131"/>
  <c r="W777" i="131"/>
  <c r="X777" i="131" s="1"/>
  <c r="M473" i="131"/>
  <c r="I241" i="114"/>
  <c r="I240" i="114" s="1"/>
  <c r="K472" i="131"/>
  <c r="M472" i="131" s="1"/>
  <c r="W386" i="131"/>
  <c r="X386" i="131" s="1"/>
  <c r="X736" i="131"/>
  <c r="L788" i="131"/>
  <c r="X30" i="131"/>
  <c r="X444" i="131"/>
  <c r="H211" i="131"/>
  <c r="H210" i="131" s="1"/>
  <c r="T1248" i="131"/>
  <c r="U884" i="131"/>
  <c r="U2434" i="131" s="1"/>
  <c r="X1070" i="131"/>
  <c r="X1747" i="131"/>
  <c r="R74" i="131"/>
  <c r="R2420" i="131" s="1"/>
  <c r="R2425" i="131" s="1"/>
  <c r="W1533" i="131"/>
  <c r="X1988" i="131"/>
  <c r="T1533" i="131"/>
  <c r="L551" i="131"/>
  <c r="X1635" i="131"/>
  <c r="N2386" i="131"/>
  <c r="X1414" i="131"/>
  <c r="X1025" i="131"/>
  <c r="X1216" i="131"/>
  <c r="T777" i="131"/>
  <c r="X868" i="131"/>
  <c r="K636" i="131"/>
  <c r="M636" i="131" s="1"/>
  <c r="G382" i="131"/>
  <c r="X222" i="131"/>
  <c r="X893" i="131"/>
  <c r="M553" i="131"/>
  <c r="X509" i="131"/>
  <c r="X647" i="131"/>
  <c r="V2402" i="131"/>
  <c r="T443" i="131"/>
  <c r="X515" i="131"/>
  <c r="X217" i="131"/>
  <c r="X377" i="131"/>
  <c r="X864" i="131"/>
  <c r="X891" i="131"/>
  <c r="G501" i="131"/>
  <c r="G489" i="131" s="1"/>
  <c r="K294" i="114"/>
  <c r="K293" i="114" s="1"/>
  <c r="X464" i="131"/>
  <c r="J555" i="131"/>
  <c r="L555" i="131" s="1"/>
  <c r="H274" i="114"/>
  <c r="L274" i="114" s="1"/>
  <c r="V381" i="131"/>
  <c r="V2394" i="131" s="1"/>
  <c r="H65" i="131"/>
  <c r="L65" i="131" s="1"/>
  <c r="I257" i="114"/>
  <c r="M257" i="114" s="1"/>
  <c r="X408" i="131"/>
  <c r="K2376" i="131"/>
  <c r="X553" i="131"/>
  <c r="J101" i="114"/>
  <c r="J100" i="114" s="1"/>
  <c r="J99" i="114" s="1"/>
  <c r="W696" i="131"/>
  <c r="K399" i="131"/>
  <c r="T511" i="131"/>
  <c r="W472" i="131"/>
  <c r="K466" i="131"/>
  <c r="X466" i="131" s="1"/>
  <c r="J244" i="114"/>
  <c r="L244" i="114" s="1"/>
  <c r="W511" i="131"/>
  <c r="H399" i="114"/>
  <c r="T466" i="131"/>
  <c r="T399" i="131"/>
  <c r="K562" i="131"/>
  <c r="M562" i="131" s="1"/>
  <c r="M170" i="114"/>
  <c r="K677" i="131"/>
  <c r="M677" i="131" s="1"/>
  <c r="X670" i="131"/>
  <c r="M138" i="114"/>
  <c r="J536" i="131"/>
  <c r="L669" i="131"/>
  <c r="K511" i="131"/>
  <c r="L305" i="114" s="1"/>
  <c r="J25" i="114"/>
  <c r="L25" i="114" s="1"/>
  <c r="G471" i="131"/>
  <c r="G470" i="131" s="1"/>
  <c r="W470" i="131" s="1"/>
  <c r="L552" i="131"/>
  <c r="M687" i="131"/>
  <c r="M399" i="114"/>
  <c r="L612" i="131"/>
  <c r="H448" i="131"/>
  <c r="K508" i="131"/>
  <c r="K196" i="114"/>
  <c r="K195" i="114" s="1"/>
  <c r="K194" i="114" s="1"/>
  <c r="Q194" i="114" s="1"/>
  <c r="K612" i="131"/>
  <c r="W508" i="131"/>
  <c r="K114" i="114"/>
  <c r="M114" i="114" s="1"/>
  <c r="X582" i="131"/>
  <c r="L182" i="131"/>
  <c r="X232" i="131"/>
  <c r="X207" i="131"/>
  <c r="H241" i="114"/>
  <c r="H240" i="114" s="1"/>
  <c r="L240" i="114" s="1"/>
  <c r="T235" i="131"/>
  <c r="X506" i="131"/>
  <c r="X584" i="131"/>
  <c r="X480" i="131"/>
  <c r="J38" i="114"/>
  <c r="M584" i="131"/>
  <c r="L329" i="131"/>
  <c r="H395" i="131"/>
  <c r="K288" i="131"/>
  <c r="M288" i="131" s="1"/>
  <c r="X543" i="131"/>
  <c r="T312" i="131"/>
  <c r="V224" i="131"/>
  <c r="V2471" i="131" s="1"/>
  <c r="X387" i="131"/>
  <c r="X588" i="131"/>
  <c r="X400" i="131"/>
  <c r="M335" i="131"/>
  <c r="K329" i="131"/>
  <c r="M329" i="131" s="1"/>
  <c r="X262" i="131"/>
  <c r="L43" i="131"/>
  <c r="L288" i="131"/>
  <c r="W206" i="131"/>
  <c r="T206" i="131"/>
  <c r="L126" i="131"/>
  <c r="L238" i="131"/>
  <c r="K238" i="131"/>
  <c r="L162" i="114"/>
  <c r="X260" i="131"/>
  <c r="J325" i="114"/>
  <c r="L325" i="114" s="1"/>
  <c r="K126" i="131"/>
  <c r="M126" i="131" s="1"/>
  <c r="M133" i="131"/>
  <c r="I112" i="131"/>
  <c r="K112" i="131" s="1"/>
  <c r="M51" i="131"/>
  <c r="K43" i="131"/>
  <c r="M43" i="131" s="1"/>
  <c r="M76" i="131"/>
  <c r="L122" i="114"/>
  <c r="M77" i="131"/>
  <c r="J166" i="114"/>
  <c r="K14" i="131"/>
  <c r="M14" i="131" s="1"/>
  <c r="X76" i="131"/>
  <c r="M47" i="131"/>
  <c r="X47" i="131"/>
  <c r="L14" i="131"/>
  <c r="L184" i="114"/>
  <c r="X51" i="131"/>
  <c r="M20" i="131"/>
  <c r="M27" i="114"/>
  <c r="L163" i="114"/>
  <c r="L57" i="114"/>
  <c r="M258" i="114"/>
  <c r="X77" i="131"/>
  <c r="F312" i="1"/>
  <c r="F310" i="1"/>
  <c r="E314" i="1"/>
  <c r="F247" i="1"/>
  <c r="E208" i="1"/>
  <c r="H208" i="1" s="1"/>
  <c r="M311" i="1"/>
  <c r="I311" i="1"/>
  <c r="AJ208" i="1"/>
  <c r="AK247" i="1"/>
  <c r="AK227" i="1"/>
  <c r="F77" i="1"/>
  <c r="E76" i="1"/>
  <c r="F76" i="1" s="1"/>
  <c r="G18" i="1" s="1"/>
  <c r="I26" i="114"/>
  <c r="M26" i="114" s="1"/>
  <c r="M2273" i="131"/>
  <c r="W1563" i="131"/>
  <c r="L2067" i="131"/>
  <c r="K216" i="131"/>
  <c r="W216" i="131"/>
  <c r="I195" i="114"/>
  <c r="K1223" i="131"/>
  <c r="M1223" i="131" s="1"/>
  <c r="L219" i="131"/>
  <c r="H306" i="114"/>
  <c r="H302" i="114" s="1"/>
  <c r="X155" i="131"/>
  <c r="I82" i="114"/>
  <c r="I81" i="114" s="1"/>
  <c r="X1795" i="131"/>
  <c r="X1330" i="131"/>
  <c r="G7" i="121"/>
  <c r="X1430" i="131"/>
  <c r="S381" i="131"/>
  <c r="S2394" i="131" s="1"/>
  <c r="X2196" i="131"/>
  <c r="X1080" i="131"/>
  <c r="W399" i="131"/>
  <c r="N370" i="131"/>
  <c r="N2387" i="131" s="1"/>
  <c r="R12" i="131"/>
  <c r="R11" i="131" s="1"/>
  <c r="R2468" i="131" s="1"/>
  <c r="S2381" i="131"/>
  <c r="S2289" i="131"/>
  <c r="S2288" i="131" s="1"/>
  <c r="S2210" i="131" s="1"/>
  <c r="S2477" i="131" s="1"/>
  <c r="L376" i="131"/>
  <c r="H1354" i="131"/>
  <c r="L1354" i="131" s="1"/>
  <c r="T807" i="131"/>
  <c r="H1017" i="131"/>
  <c r="H1016" i="131" s="1"/>
  <c r="W1502" i="131"/>
  <c r="K427" i="131"/>
  <c r="M427" i="131" s="1"/>
  <c r="X2204" i="131"/>
  <c r="X2229" i="131"/>
  <c r="X1758" i="131"/>
  <c r="S1464" i="131"/>
  <c r="S2396" i="131" s="1"/>
  <c r="W990" i="131"/>
  <c r="X1007" i="131"/>
  <c r="X2171" i="131"/>
  <c r="X792" i="131"/>
  <c r="X241" i="131"/>
  <c r="J22" i="114"/>
  <c r="J21" i="114" s="1"/>
  <c r="H179" i="114"/>
  <c r="H178" i="114" s="1"/>
  <c r="H177" i="114" s="1"/>
  <c r="L696" i="131"/>
  <c r="T748" i="131"/>
  <c r="I1869" i="131"/>
  <c r="I2422" i="131" s="1"/>
  <c r="E26" i="36" s="1"/>
  <c r="X871" i="131"/>
  <c r="N568" i="131"/>
  <c r="N567" i="131" s="1"/>
  <c r="N2374" i="131" s="1"/>
  <c r="G1348" i="131"/>
  <c r="G2400" i="131" s="1"/>
  <c r="J253" i="114"/>
  <c r="L253" i="114" s="1"/>
  <c r="I1412" i="131"/>
  <c r="K1413" i="131"/>
  <c r="J951" i="131"/>
  <c r="J903" i="131" s="1"/>
  <c r="S74" i="131"/>
  <c r="S73" i="131" s="1"/>
  <c r="S72" i="131" s="1"/>
  <c r="S2469" i="131" s="1"/>
  <c r="X2328" i="131"/>
  <c r="K857" i="131"/>
  <c r="L401" i="114" s="1"/>
  <c r="L2130" i="131"/>
  <c r="M342" i="114" s="1"/>
  <c r="M341" i="114" s="1"/>
  <c r="X1599" i="131"/>
  <c r="K340" i="114"/>
  <c r="K339" i="114" s="1"/>
  <c r="H328" i="114"/>
  <c r="K2181" i="131"/>
  <c r="M2181" i="131" s="1"/>
  <c r="L1940" i="131"/>
  <c r="M359" i="114" s="1"/>
  <c r="M358" i="114" s="1"/>
  <c r="I2174" i="131"/>
  <c r="I2173" i="131" s="1"/>
  <c r="X1451" i="131"/>
  <c r="I104" i="114"/>
  <c r="I103" i="114" s="1"/>
  <c r="R624" i="131"/>
  <c r="R611" i="131" s="1"/>
  <c r="T1413" i="131"/>
  <c r="K394" i="114"/>
  <c r="K393" i="114" s="1"/>
  <c r="L116" i="131"/>
  <c r="L124" i="114"/>
  <c r="W1359" i="131"/>
  <c r="I2212" i="131"/>
  <c r="W2212" i="131" s="1"/>
  <c r="X706" i="131"/>
  <c r="G13" i="131"/>
  <c r="W13" i="131" s="1"/>
  <c r="T228" i="131"/>
  <c r="X1128" i="131"/>
  <c r="X972" i="131"/>
  <c r="K68" i="114"/>
  <c r="K67" i="114" s="1"/>
  <c r="K58" i="114" s="1"/>
  <c r="X1061" i="131"/>
  <c r="H88" i="114"/>
  <c r="J181" i="114"/>
  <c r="H382" i="114"/>
  <c r="H381" i="114" s="1"/>
  <c r="L381" i="114" s="1"/>
  <c r="S1617" i="131"/>
  <c r="S1616" i="131" s="1"/>
  <c r="N689" i="131"/>
  <c r="N2441" i="131" s="1"/>
  <c r="S370" i="131"/>
  <c r="S366" i="131" s="1"/>
  <c r="S365" i="131" s="1"/>
  <c r="S2383" i="131" s="1"/>
  <c r="X781" i="131"/>
  <c r="J2291" i="131"/>
  <c r="J2290" i="131" s="1"/>
  <c r="I400" i="114"/>
  <c r="K2319" i="131"/>
  <c r="J252" i="114"/>
  <c r="L252" i="114" s="1"/>
  <c r="U226" i="131"/>
  <c r="U225" i="131" s="1"/>
  <c r="U224" i="131" s="1"/>
  <c r="U2471" i="131" s="1"/>
  <c r="L1058" i="131"/>
  <c r="L1293" i="131"/>
  <c r="M15" i="114" s="1"/>
  <c r="M14" i="114" s="1"/>
  <c r="K769" i="131"/>
  <c r="M769" i="131" s="1"/>
  <c r="L965" i="131"/>
  <c r="V747" i="131"/>
  <c r="V746" i="131" s="1"/>
  <c r="V745" i="131" s="1"/>
  <c r="H96" i="114"/>
  <c r="H95" i="114" s="1"/>
  <c r="L119" i="131"/>
  <c r="W1510" i="131"/>
  <c r="X813" i="131"/>
  <c r="X703" i="131"/>
  <c r="X576" i="131"/>
  <c r="X2221" i="131"/>
  <c r="X849" i="131"/>
  <c r="X632" i="131"/>
  <c r="W1413" i="131"/>
  <c r="K324" i="114"/>
  <c r="M324" i="114" s="1"/>
  <c r="J112" i="131"/>
  <c r="I448" i="131"/>
  <c r="W569" i="131"/>
  <c r="T1359" i="131"/>
  <c r="K1967" i="131"/>
  <c r="L372" i="114" s="1"/>
  <c r="L371" i="114" s="1"/>
  <c r="L370" i="114" s="1"/>
  <c r="X646" i="131"/>
  <c r="W186" i="131"/>
  <c r="X186" i="131" s="1"/>
  <c r="H651" i="131"/>
  <c r="H672" i="131"/>
  <c r="L672" i="131" s="1"/>
  <c r="K1502" i="131"/>
  <c r="M1502" i="131" s="1"/>
  <c r="I1446" i="131"/>
  <c r="K1446" i="131" s="1"/>
  <c r="T2195" i="131"/>
  <c r="I328" i="114"/>
  <c r="J1151" i="131"/>
  <c r="H1038" i="131"/>
  <c r="X1004" i="131"/>
  <c r="X1622" i="131"/>
  <c r="K402" i="131"/>
  <c r="T427" i="131"/>
  <c r="L2195" i="131"/>
  <c r="I1348" i="131"/>
  <c r="I2400" i="131" s="1"/>
  <c r="J384" i="114"/>
  <c r="L384" i="114" s="1"/>
  <c r="X1547" i="131"/>
  <c r="G2038" i="131"/>
  <c r="G2037" i="131" s="1"/>
  <c r="G2036" i="131" s="1"/>
  <c r="K399" i="114"/>
  <c r="J471" i="131"/>
  <c r="H107" i="114"/>
  <c r="H105" i="114" s="1"/>
  <c r="G365" i="131"/>
  <c r="M18" i="114"/>
  <c r="M16" i="114" s="1"/>
  <c r="K2120" i="131"/>
  <c r="L338" i="114" s="1"/>
  <c r="L337" i="114" s="1"/>
  <c r="N2381" i="131"/>
  <c r="R2399" i="131"/>
  <c r="G426" i="131"/>
  <c r="W739" i="131"/>
  <c r="X739" i="131" s="1"/>
  <c r="H154" i="114"/>
  <c r="H153" i="114" s="1"/>
  <c r="H405" i="114"/>
  <c r="H404" i="114" s="1"/>
  <c r="H266" i="114"/>
  <c r="H265" i="114" s="1"/>
  <c r="L265" i="114" s="1"/>
  <c r="X1089" i="131"/>
  <c r="J159" i="114"/>
  <c r="J158" i="114" s="1"/>
  <c r="J157" i="114" s="1"/>
  <c r="K396" i="114"/>
  <c r="K395" i="114" s="1"/>
  <c r="K398" i="114"/>
  <c r="W748" i="131"/>
  <c r="K109" i="131"/>
  <c r="M1547" i="131"/>
  <c r="X1388" i="131"/>
  <c r="J1289" i="131"/>
  <c r="K1948" i="131"/>
  <c r="L363" i="114" s="1"/>
  <c r="L362" i="114" s="1"/>
  <c r="K80" i="114"/>
  <c r="K79" i="114" s="1"/>
  <c r="I1509" i="131"/>
  <c r="I1508" i="131" s="1"/>
  <c r="T1508" i="131" s="1"/>
  <c r="W1640" i="131"/>
  <c r="X1640" i="131" s="1"/>
  <c r="W1018" i="131"/>
  <c r="W848" i="131"/>
  <c r="I169" i="114"/>
  <c r="M169" i="114" s="1"/>
  <c r="L1609" i="131"/>
  <c r="K334" i="114"/>
  <c r="K333" i="114" s="1"/>
  <c r="L2361" i="131"/>
  <c r="X889" i="131"/>
  <c r="K270" i="114"/>
  <c r="K269" i="114" s="1"/>
  <c r="S2437" i="131"/>
  <c r="X1001" i="131"/>
  <c r="H386" i="114"/>
  <c r="H385" i="114" s="1"/>
  <c r="T1076" i="131"/>
  <c r="L435" i="131"/>
  <c r="L281" i="114"/>
  <c r="K1854" i="131"/>
  <c r="X1854" i="131" s="1"/>
  <c r="X1592" i="131"/>
  <c r="W376" i="131"/>
  <c r="L2313" i="131"/>
  <c r="K1447" i="131"/>
  <c r="L402" i="114" s="1"/>
  <c r="L2258" i="131"/>
  <c r="X732" i="131"/>
  <c r="J85" i="114"/>
  <c r="J84" i="114" s="1"/>
  <c r="J2227" i="131"/>
  <c r="J2226" i="131" s="1"/>
  <c r="L2226" i="131" s="1"/>
  <c r="H1907" i="131"/>
  <c r="L517" i="131"/>
  <c r="X2214" i="131"/>
  <c r="X1394" i="131"/>
  <c r="J1472" i="131"/>
  <c r="L1472" i="131" s="1"/>
  <c r="K316" i="114"/>
  <c r="K315" i="114" s="1"/>
  <c r="K314" i="114" s="1"/>
  <c r="K311" i="114" s="1"/>
  <c r="J36" i="114"/>
  <c r="I1306" i="131"/>
  <c r="M282" i="114"/>
  <c r="L14" i="36"/>
  <c r="K740" i="131"/>
  <c r="M740" i="131" s="1"/>
  <c r="G738" i="131"/>
  <c r="T738" i="131" s="1"/>
  <c r="X384" i="131"/>
  <c r="L386" i="131"/>
  <c r="X563" i="131"/>
  <c r="H389" i="114"/>
  <c r="H388" i="114" s="1"/>
  <c r="T1510" i="131"/>
  <c r="T1640" i="131"/>
  <c r="L168" i="114"/>
  <c r="K1018" i="131"/>
  <c r="M1018" i="131" s="1"/>
  <c r="K2192" i="131"/>
  <c r="M2192" i="131" s="1"/>
  <c r="G1073" i="131"/>
  <c r="K1073" i="131" s="1"/>
  <c r="M1073" i="131" s="1"/>
  <c r="I101" i="114"/>
  <c r="I100" i="114" s="1"/>
  <c r="I99" i="114" s="1"/>
  <c r="V884" i="131"/>
  <c r="V2434" i="131" s="1"/>
  <c r="X794" i="131"/>
  <c r="U567" i="131"/>
  <c r="U566" i="131" s="1"/>
  <c r="X2208" i="131"/>
  <c r="L2169" i="131"/>
  <c r="K491" i="131"/>
  <c r="M491" i="131" s="1"/>
  <c r="U1820" i="131"/>
  <c r="U2421" i="131" s="1"/>
  <c r="J2312" i="131"/>
  <c r="L2312" i="131" s="1"/>
  <c r="K1152" i="131"/>
  <c r="W413" i="131"/>
  <c r="S1607" i="131"/>
  <c r="S535" i="131"/>
  <c r="S534" i="131" s="1"/>
  <c r="L2362" i="131"/>
  <c r="J964" i="131"/>
  <c r="L964" i="131" s="1"/>
  <c r="T376" i="131"/>
  <c r="K625" i="131"/>
  <c r="M625" i="131" s="1"/>
  <c r="W1076" i="131"/>
  <c r="X1076" i="131" s="1"/>
  <c r="X320" i="131"/>
  <c r="R1617" i="131"/>
  <c r="R1616" i="131" s="1"/>
  <c r="X795" i="131"/>
  <c r="M2171" i="131"/>
  <c r="L1925" i="131"/>
  <c r="L2170" i="131"/>
  <c r="H1175" i="131"/>
  <c r="L1175" i="131" s="1"/>
  <c r="X634" i="131"/>
  <c r="T990" i="131"/>
  <c r="K2303" i="131"/>
  <c r="M2303" i="131" s="1"/>
  <c r="L1562" i="131"/>
  <c r="M818" i="131"/>
  <c r="T740" i="131"/>
  <c r="X1610" i="131"/>
  <c r="H1970" i="131"/>
  <c r="M2328" i="131"/>
  <c r="K748" i="131"/>
  <c r="H180" i="131"/>
  <c r="T1075" i="131"/>
  <c r="X342" i="131"/>
  <c r="H382" i="131"/>
  <c r="L382" i="131" s="1"/>
  <c r="T1018" i="131"/>
  <c r="K696" i="131"/>
  <c r="L101" i="114" s="1"/>
  <c r="L100" i="114" s="1"/>
  <c r="L99" i="114" s="1"/>
  <c r="W477" i="131"/>
  <c r="R747" i="131"/>
  <c r="R746" i="131" s="1"/>
  <c r="R745" i="131" s="1"/>
  <c r="J1425" i="131"/>
  <c r="J1424" i="131" s="1"/>
  <c r="X2275" i="131"/>
  <c r="L2168" i="131"/>
  <c r="L2120" i="131"/>
  <c r="M338" i="114" s="1"/>
  <c r="M337" i="114" s="1"/>
  <c r="L26" i="114"/>
  <c r="N1530" i="131"/>
  <c r="L1848" i="131"/>
  <c r="M229" i="114" s="1"/>
  <c r="M228" i="114" s="1"/>
  <c r="U285" i="131"/>
  <c r="U284" i="131" s="1"/>
  <c r="L1710" i="131"/>
  <c r="L1704" i="131" s="1"/>
  <c r="L2413" i="131" s="1"/>
  <c r="P66" i="131"/>
  <c r="K413" i="131"/>
  <c r="X1659" i="131"/>
  <c r="N2411" i="131"/>
  <c r="G2227" i="131"/>
  <c r="G2226" i="131" s="1"/>
  <c r="G2225" i="131" s="1"/>
  <c r="G2224" i="131" s="1"/>
  <c r="K1485" i="131"/>
  <c r="X316" i="131"/>
  <c r="I211" i="131"/>
  <c r="I210" i="131" s="1"/>
  <c r="J1410" i="131"/>
  <c r="J1409" i="131" s="1"/>
  <c r="X1032" i="131"/>
  <c r="L296" i="114"/>
  <c r="X2014" i="131"/>
  <c r="L407" i="131"/>
  <c r="T1450" i="131"/>
  <c r="K1831" i="131"/>
  <c r="L219" i="114" s="1"/>
  <c r="L218" i="114" s="1"/>
  <c r="J104" i="114"/>
  <c r="J103" i="114" s="1"/>
  <c r="I885" i="131"/>
  <c r="W885" i="131" s="1"/>
  <c r="H1607" i="131"/>
  <c r="L1608" i="131"/>
  <c r="L2454" i="131" s="1"/>
  <c r="K89" i="114"/>
  <c r="K88" i="114" s="1"/>
  <c r="K1443" i="131"/>
  <c r="H189" i="114"/>
  <c r="X1553" i="131"/>
  <c r="R2383" i="131"/>
  <c r="K402" i="114"/>
  <c r="M316" i="131"/>
  <c r="X1675" i="131"/>
  <c r="H568" i="131"/>
  <c r="K255" i="114"/>
  <c r="K1434" i="131"/>
  <c r="X603" i="131"/>
  <c r="L1624" i="131"/>
  <c r="K286" i="114"/>
  <c r="W205" i="131"/>
  <c r="V2411" i="131"/>
  <c r="N11" i="36"/>
  <c r="W14" i="131"/>
  <c r="W1247" i="131"/>
  <c r="G1966" i="131"/>
  <c r="G1912" i="131" s="1"/>
  <c r="J176" i="131"/>
  <c r="L176" i="131" s="1"/>
  <c r="T1247" i="131"/>
  <c r="T1774" i="131"/>
  <c r="M402" i="114"/>
  <c r="X1284" i="131"/>
  <c r="U489" i="131"/>
  <c r="U488" i="131" s="1"/>
  <c r="V1097" i="131"/>
  <c r="V2438" i="131" s="1"/>
  <c r="L2177" i="131"/>
  <c r="M90" i="114" s="1"/>
  <c r="M506" i="131"/>
  <c r="K2213" i="131"/>
  <c r="M2213" i="131" s="1"/>
  <c r="G776" i="131"/>
  <c r="K776" i="131" s="1"/>
  <c r="K477" i="131"/>
  <c r="M477" i="131" s="1"/>
  <c r="T1740" i="131"/>
  <c r="K1171" i="131"/>
  <c r="L290" i="114"/>
  <c r="L289" i="114" s="1"/>
  <c r="R285" i="131"/>
  <c r="R284" i="131" s="1"/>
  <c r="S2395" i="131"/>
  <c r="K658" i="131"/>
  <c r="X269" i="131"/>
  <c r="J268" i="114"/>
  <c r="J267" i="114" s="1"/>
  <c r="L267" i="114" s="1"/>
  <c r="I379" i="114"/>
  <c r="I378" i="114" s="1"/>
  <c r="I377" i="114" s="1"/>
  <c r="I376" i="114" s="1"/>
  <c r="K965" i="131"/>
  <c r="M2048" i="131"/>
  <c r="R2137" i="131"/>
  <c r="R2431" i="131" s="1"/>
  <c r="R2432" i="131" s="1"/>
  <c r="X1455" i="131"/>
  <c r="J259" i="114"/>
  <c r="J258" i="114" s="1"/>
  <c r="L258" i="114" s="1"/>
  <c r="W1641" i="131"/>
  <c r="L1179" i="131"/>
  <c r="M286" i="114" s="1"/>
  <c r="W288" i="131"/>
  <c r="I1970" i="131"/>
  <c r="I1583" i="131"/>
  <c r="I1582" i="131" s="1"/>
  <c r="X1749" i="131"/>
  <c r="X749" i="131"/>
  <c r="W2268" i="131"/>
  <c r="X2268" i="131" s="1"/>
  <c r="I2267" i="131"/>
  <c r="I287" i="131"/>
  <c r="I286" i="131" s="1"/>
  <c r="K185" i="114"/>
  <c r="J2180" i="131"/>
  <c r="J2174" i="131" s="1"/>
  <c r="J2173" i="131" s="1"/>
  <c r="L1278" i="131"/>
  <c r="L2410" i="131" s="1"/>
  <c r="R1521" i="131"/>
  <c r="R2443" i="131"/>
  <c r="R2444" i="131" s="1"/>
  <c r="K1429" i="131"/>
  <c r="K1425" i="131" s="1"/>
  <c r="V12" i="131"/>
  <c r="V11" i="131" s="1"/>
  <c r="V2468" i="131" s="1"/>
  <c r="I2369" i="131"/>
  <c r="V489" i="131"/>
  <c r="V488" i="131" s="1"/>
  <c r="I90" i="114"/>
  <c r="I88" i="114" s="1"/>
  <c r="J426" i="131"/>
  <c r="M1517" i="131"/>
  <c r="M89" i="114"/>
  <c r="K1247" i="131"/>
  <c r="M1247" i="131" s="1"/>
  <c r="T739" i="131"/>
  <c r="K196" i="131"/>
  <c r="M196" i="131" s="1"/>
  <c r="W312" i="131"/>
  <c r="X312" i="131" s="1"/>
  <c r="G1769" i="131"/>
  <c r="T288" i="131"/>
  <c r="T696" i="131"/>
  <c r="T477" i="131"/>
  <c r="S1463" i="131"/>
  <c r="S2428" i="131" s="1"/>
  <c r="L1152" i="131"/>
  <c r="X1208" i="131"/>
  <c r="W449" i="131"/>
  <c r="X449" i="131" s="1"/>
  <c r="X2259" i="131"/>
  <c r="X645" i="131"/>
  <c r="W402" i="131"/>
  <c r="X1711" i="131"/>
  <c r="L2376" i="131"/>
  <c r="N226" i="131"/>
  <c r="N225" i="131" s="1"/>
  <c r="N224" i="131" s="1"/>
  <c r="N2471" i="131" s="1"/>
  <c r="K1858" i="131"/>
  <c r="M1858" i="131" s="1"/>
  <c r="T1641" i="131"/>
  <c r="H1618" i="131"/>
  <c r="L1618" i="131" s="1"/>
  <c r="G1433" i="131"/>
  <c r="G1432" i="131" s="1"/>
  <c r="X946" i="131"/>
  <c r="K209" i="114"/>
  <c r="K208" i="114" s="1"/>
  <c r="R1583" i="131"/>
  <c r="R1582" i="131" s="1"/>
  <c r="H1535" i="131"/>
  <c r="H1530" i="131" s="1"/>
  <c r="X461" i="131"/>
  <c r="J395" i="131"/>
  <c r="W2195" i="131"/>
  <c r="L185" i="114"/>
  <c r="L1967" i="131"/>
  <c r="M372" i="114" s="1"/>
  <c r="M371" i="114" s="1"/>
  <c r="M370" i="114" s="1"/>
  <c r="J1433" i="131"/>
  <c r="J1432" i="131" s="1"/>
  <c r="L1432" i="131" s="1"/>
  <c r="L1279" i="131"/>
  <c r="T1429" i="131"/>
  <c r="J1222" i="131"/>
  <c r="L1223" i="131"/>
  <c r="S1015" i="131"/>
  <c r="L769" i="131"/>
  <c r="L2072" i="131"/>
  <c r="K319" i="114"/>
  <c r="J357" i="114"/>
  <c r="J356" i="114" s="1"/>
  <c r="K1937" i="131"/>
  <c r="L1916" i="131"/>
  <c r="K344" i="114"/>
  <c r="X1590" i="131"/>
  <c r="M1590" i="131"/>
  <c r="K1618" i="131"/>
  <c r="M1618" i="131" s="1"/>
  <c r="H951" i="131"/>
  <c r="H903" i="131" s="1"/>
  <c r="H897" i="131" s="1"/>
  <c r="X313" i="131"/>
  <c r="K978" i="131"/>
  <c r="M978" i="131" s="1"/>
  <c r="V2384" i="131"/>
  <c r="K1107" i="131"/>
  <c r="M1107" i="131" s="1"/>
  <c r="R1432" i="131"/>
  <c r="R2427" i="131" s="1"/>
  <c r="X1059" i="131"/>
  <c r="L1919" i="131"/>
  <c r="K347" i="114"/>
  <c r="K346" i="114" s="1"/>
  <c r="J349" i="114"/>
  <c r="J348" i="114" s="1"/>
  <c r="K1925" i="131"/>
  <c r="K1634" i="131"/>
  <c r="W1634" i="131"/>
  <c r="T1634" i="131"/>
  <c r="R1889" i="131"/>
  <c r="R1812" i="131" s="1"/>
  <c r="K1524" i="131"/>
  <c r="T1524" i="131"/>
  <c r="H150" i="114"/>
  <c r="W1524" i="131"/>
  <c r="G1523" i="131"/>
  <c r="K132" i="114"/>
  <c r="L2231" i="131"/>
  <c r="X1012" i="131"/>
  <c r="W979" i="131"/>
  <c r="J306" i="114"/>
  <c r="T978" i="131"/>
  <c r="W978" i="131"/>
  <c r="K979" i="131"/>
  <c r="X979" i="131" s="1"/>
  <c r="T863" i="131"/>
  <c r="I1484" i="131"/>
  <c r="I1289" i="131"/>
  <c r="I2378" i="131" s="1"/>
  <c r="M313" i="131"/>
  <c r="S1151" i="131"/>
  <c r="S2379" i="131" s="1"/>
  <c r="M750" i="131"/>
  <c r="X750" i="131"/>
  <c r="W847" i="131"/>
  <c r="X847" i="131" s="1"/>
  <c r="J179" i="114"/>
  <c r="J178" i="114" s="1"/>
  <c r="J177" i="114" s="1"/>
  <c r="I234" i="131"/>
  <c r="I226" i="131" s="1"/>
  <c r="I225" i="131" s="1"/>
  <c r="T1223" i="131"/>
  <c r="N2446" i="131"/>
  <c r="N2449" i="131" s="1"/>
  <c r="X1657" i="131"/>
  <c r="V1889" i="131"/>
  <c r="V2423" i="131" s="1"/>
  <c r="J776" i="131"/>
  <c r="L776" i="131" s="1"/>
  <c r="X2169" i="131"/>
  <c r="L1497" i="131"/>
  <c r="K235" i="131"/>
  <c r="M235" i="131" s="1"/>
  <c r="J303" i="114"/>
  <c r="J501" i="131"/>
  <c r="I51" i="114"/>
  <c r="I50" i="114" s="1"/>
  <c r="I121" i="114"/>
  <c r="I120" i="114" s="1"/>
  <c r="M120" i="114" s="1"/>
  <c r="X518" i="131"/>
  <c r="X438" i="131"/>
  <c r="X697" i="131"/>
  <c r="X928" i="131"/>
  <c r="J1607" i="131"/>
  <c r="J2454" i="131"/>
  <c r="I1490" i="131"/>
  <c r="K1490" i="131" s="1"/>
  <c r="K1491" i="131"/>
  <c r="M1187" i="131"/>
  <c r="X1187" i="131"/>
  <c r="M1991" i="131"/>
  <c r="X1991" i="131"/>
  <c r="I1017" i="131"/>
  <c r="N9" i="36"/>
  <c r="M387" i="131"/>
  <c r="X594" i="131"/>
  <c r="K119" i="131"/>
  <c r="M119" i="131" s="1"/>
  <c r="X482" i="131"/>
  <c r="M208" i="131"/>
  <c r="X208" i="131"/>
  <c r="M386" i="131"/>
  <c r="M438" i="131"/>
  <c r="M187" i="114"/>
  <c r="L121" i="114"/>
  <c r="X33" i="131"/>
  <c r="X265" i="131"/>
  <c r="K227" i="131"/>
  <c r="M227" i="131" s="1"/>
  <c r="K326" i="131"/>
  <c r="K322" i="131" s="1"/>
  <c r="I322" i="131"/>
  <c r="X499" i="131"/>
  <c r="T315" i="131"/>
  <c r="X494" i="131"/>
  <c r="K242" i="114"/>
  <c r="M242" i="114" s="1"/>
  <c r="M243" i="114"/>
  <c r="H398" i="114"/>
  <c r="X56" i="131"/>
  <c r="X251" i="131"/>
  <c r="S224" i="131"/>
  <c r="S2471" i="131" s="1"/>
  <c r="I2038" i="131"/>
  <c r="J379" i="114"/>
  <c r="K2039" i="131"/>
  <c r="K1609" i="131"/>
  <c r="M1609" i="131" s="1"/>
  <c r="K307" i="114"/>
  <c r="K323" i="114"/>
  <c r="L2078" i="131"/>
  <c r="L1900" i="131"/>
  <c r="K147" i="114"/>
  <c r="K219" i="114"/>
  <c r="K218" i="114" s="1"/>
  <c r="L1831" i="131"/>
  <c r="M219" i="114" s="1"/>
  <c r="M218" i="114" s="1"/>
  <c r="M1594" i="131"/>
  <c r="X1594" i="131"/>
  <c r="J1491" i="131"/>
  <c r="J1490" i="131" s="1"/>
  <c r="I1192" i="131"/>
  <c r="K1192" i="131" s="1"/>
  <c r="M1192" i="131" s="1"/>
  <c r="K1193" i="131"/>
  <c r="M1193" i="131" s="1"/>
  <c r="H1739" i="131"/>
  <c r="L1740" i="131"/>
  <c r="W2258" i="131"/>
  <c r="X2258" i="131" s="1"/>
  <c r="J307" i="114"/>
  <c r="K143" i="114"/>
  <c r="L1894" i="131"/>
  <c r="J351" i="114"/>
  <c r="J350" i="114" s="1"/>
  <c r="K1928" i="131"/>
  <c r="V1232" i="131"/>
  <c r="L1674" i="131"/>
  <c r="X27" i="131"/>
  <c r="H159" i="114"/>
  <c r="H158" i="114" s="1"/>
  <c r="S689" i="131"/>
  <c r="S2441" i="131" s="1"/>
  <c r="V567" i="131"/>
  <c r="V566" i="131" s="1"/>
  <c r="V2440" i="131" s="1"/>
  <c r="V2442" i="131" s="1"/>
  <c r="I768" i="131"/>
  <c r="J96" i="114"/>
  <c r="J95" i="114" s="1"/>
  <c r="J370" i="131"/>
  <c r="J366" i="131" s="1"/>
  <c r="I262" i="114"/>
  <c r="M262" i="114" s="1"/>
  <c r="M263" i="114"/>
  <c r="K2228" i="131"/>
  <c r="H130" i="114"/>
  <c r="W2228" i="131"/>
  <c r="L2184" i="131"/>
  <c r="G1278" i="131"/>
  <c r="W1279" i="131"/>
  <c r="T1279" i="131"/>
  <c r="K1279" i="131"/>
  <c r="W2039" i="131"/>
  <c r="I1908" i="131"/>
  <c r="K1908" i="131" s="1"/>
  <c r="K1909" i="131"/>
  <c r="K2279" i="131"/>
  <c r="W2279" i="131"/>
  <c r="X529" i="131"/>
  <c r="M2166" i="131"/>
  <c r="U1482" i="131"/>
  <c r="X1503" i="131"/>
  <c r="K97" i="131"/>
  <c r="L72" i="114" s="1"/>
  <c r="L71" i="114" s="1"/>
  <c r="S2174" i="131"/>
  <c r="S2173" i="131" s="1"/>
  <c r="K1094" i="131"/>
  <c r="X833" i="131"/>
  <c r="W1342" i="131"/>
  <c r="L2089" i="131"/>
  <c r="J983" i="131"/>
  <c r="L983" i="131" s="1"/>
  <c r="L984" i="131"/>
  <c r="X1867" i="131"/>
  <c r="H205" i="114"/>
  <c r="H204" i="114" s="1"/>
  <c r="K2148" i="131"/>
  <c r="J115" i="114"/>
  <c r="J114" i="114" s="1"/>
  <c r="K2297" i="131"/>
  <c r="J132" i="114"/>
  <c r="K2231" i="131"/>
  <c r="K2114" i="131"/>
  <c r="J334" i="114"/>
  <c r="J333" i="114" s="1"/>
  <c r="J328" i="114" s="1"/>
  <c r="K351" i="114"/>
  <c r="K350" i="114" s="1"/>
  <c r="L1928" i="131"/>
  <c r="J300" i="114"/>
  <c r="J298" i="114" s="1"/>
  <c r="W1186" i="131"/>
  <c r="K1186" i="131"/>
  <c r="T1186" i="131"/>
  <c r="K35" i="114"/>
  <c r="R568" i="131"/>
  <c r="M1511" i="131"/>
  <c r="X1511" i="131"/>
  <c r="H1720" i="131"/>
  <c r="I57" i="114"/>
  <c r="L1721" i="131"/>
  <c r="K2195" i="131"/>
  <c r="K130" i="114"/>
  <c r="L2228" i="131"/>
  <c r="K111" i="114"/>
  <c r="L2292" i="131"/>
  <c r="H2378" i="131"/>
  <c r="X1632" i="131"/>
  <c r="R1151" i="131"/>
  <c r="R2379" i="131" s="1"/>
  <c r="S805" i="131"/>
  <c r="S2433" i="131" s="1"/>
  <c r="J1583" i="131"/>
  <c r="J1582" i="131" s="1"/>
  <c r="K181" i="114"/>
  <c r="X229" i="131"/>
  <c r="L668" i="131"/>
  <c r="K318" i="131"/>
  <c r="M318" i="131" s="1"/>
  <c r="L2363" i="131"/>
  <c r="X1363" i="131"/>
  <c r="M2280" i="131"/>
  <c r="X2280" i="131"/>
  <c r="X1649" i="131"/>
  <c r="L123" i="114"/>
  <c r="I555" i="131"/>
  <c r="K555" i="131" s="1"/>
  <c r="H1769" i="131"/>
  <c r="H1768" i="131" s="1"/>
  <c r="W318" i="131"/>
  <c r="K1342" i="131"/>
  <c r="M1342" i="131" s="1"/>
  <c r="R535" i="131"/>
  <c r="R534" i="131" s="1"/>
  <c r="U381" i="131"/>
  <c r="U2394" i="131" s="1"/>
  <c r="X797" i="131"/>
  <c r="K2291" i="131"/>
  <c r="M2291" i="131" s="1"/>
  <c r="H209" i="114"/>
  <c r="H208" i="114" s="1"/>
  <c r="H104" i="114"/>
  <c r="H103" i="114" s="1"/>
  <c r="W1107" i="131"/>
  <c r="X1603" i="131"/>
  <c r="X2164" i="131"/>
  <c r="X257" i="131"/>
  <c r="L1645" i="131"/>
  <c r="X1461" i="131"/>
  <c r="X2310" i="131"/>
  <c r="X2277" i="131"/>
  <c r="L990" i="131"/>
  <c r="X522" i="131"/>
  <c r="X512" i="131"/>
  <c r="X372" i="131"/>
  <c r="K1940" i="131"/>
  <c r="L359" i="114" s="1"/>
  <c r="L358" i="114" s="1"/>
  <c r="R1464" i="131"/>
  <c r="V2036" i="131"/>
  <c r="V2426" i="131" s="1"/>
  <c r="V2399" i="131"/>
  <c r="I297" i="114"/>
  <c r="I293" i="114" s="1"/>
  <c r="L2252" i="131"/>
  <c r="M297" i="114" s="1"/>
  <c r="L1553" i="131"/>
  <c r="J2024" i="131"/>
  <c r="L2024" i="131" s="1"/>
  <c r="L2025" i="131"/>
  <c r="G691" i="131"/>
  <c r="K691" i="131" s="1"/>
  <c r="K692" i="131"/>
  <c r="K1349" i="131"/>
  <c r="X1349" i="131" s="1"/>
  <c r="L1299" i="131"/>
  <c r="I20" i="114"/>
  <c r="I19" i="114" s="1"/>
  <c r="I221" i="114"/>
  <c r="I220" i="114" s="1"/>
  <c r="I197" i="114" s="1"/>
  <c r="L1834" i="131"/>
  <c r="M221" i="114" s="1"/>
  <c r="M220" i="114" s="1"/>
  <c r="I253" i="114"/>
  <c r="M253" i="114" s="1"/>
  <c r="H1412" i="131"/>
  <c r="L1413" i="131"/>
  <c r="J2212" i="131"/>
  <c r="L2213" i="131"/>
  <c r="L1492" i="131"/>
  <c r="H1491" i="131"/>
  <c r="M1605" i="131"/>
  <c r="X1605" i="131"/>
  <c r="V1607" i="131"/>
  <c r="M268" i="114"/>
  <c r="X1350" i="131"/>
  <c r="X1612" i="131"/>
  <c r="X335" i="131"/>
  <c r="L202" i="131"/>
  <c r="J189" i="131"/>
  <c r="L189" i="131" s="1"/>
  <c r="V74" i="131"/>
  <c r="V2420" i="131" s="1"/>
  <c r="V2425" i="131" s="1"/>
  <c r="X220" i="131"/>
  <c r="K556" i="131"/>
  <c r="M1659" i="131"/>
  <c r="W886" i="131"/>
  <c r="L812" i="131"/>
  <c r="K319" i="131"/>
  <c r="M319" i="131" s="1"/>
  <c r="K2187" i="131"/>
  <c r="M2187" i="131" s="1"/>
  <c r="V1583" i="131"/>
  <c r="V2450" i="131" s="1"/>
  <c r="X430" i="131"/>
  <c r="X2010" i="131"/>
  <c r="M961" i="131"/>
  <c r="L1048" i="131"/>
  <c r="J1673" i="131"/>
  <c r="J1672" i="131" s="1"/>
  <c r="J2381" i="131" s="1"/>
  <c r="K51" i="114"/>
  <c r="K50" i="114" s="1"/>
  <c r="K49" i="114" s="1"/>
  <c r="K1311" i="131"/>
  <c r="H36" i="114"/>
  <c r="H98" i="114"/>
  <c r="H97" i="114" s="1"/>
  <c r="G624" i="131"/>
  <c r="K624" i="131" s="1"/>
  <c r="M624" i="131" s="1"/>
  <c r="K405" i="114"/>
  <c r="K404" i="114" s="1"/>
  <c r="J1970" i="131"/>
  <c r="I281" i="114"/>
  <c r="I280" i="114" s="1"/>
  <c r="L1176" i="131"/>
  <c r="H92" i="114"/>
  <c r="H91" i="114" s="1"/>
  <c r="K765" i="131"/>
  <c r="W765" i="131"/>
  <c r="G1325" i="131"/>
  <c r="H310" i="114"/>
  <c r="H308" i="114" s="1"/>
  <c r="L2139" i="131"/>
  <c r="H2137" i="131"/>
  <c r="I247" i="114"/>
  <c r="M247" i="114" s="1"/>
  <c r="M248" i="114"/>
  <c r="U2381" i="131"/>
  <c r="G1151" i="131"/>
  <c r="X1715" i="131"/>
  <c r="X2026" i="131"/>
  <c r="W695" i="131"/>
  <c r="T806" i="131"/>
  <c r="K92" i="114"/>
  <c r="K91" i="114" s="1"/>
  <c r="G1617" i="131"/>
  <c r="G1616" i="131" s="1"/>
  <c r="W319" i="131"/>
  <c r="K2369" i="131"/>
  <c r="G226" i="131"/>
  <c r="G225" i="131" s="1"/>
  <c r="X1224" i="131"/>
  <c r="L2369" i="131"/>
  <c r="K154" i="114"/>
  <c r="K153" i="114" s="1"/>
  <c r="K152" i="114" s="1"/>
  <c r="T1648" i="131"/>
  <c r="G2105" i="131"/>
  <c r="G2104" i="131" s="1"/>
  <c r="G2103" i="131" s="1"/>
  <c r="L2340" i="131"/>
  <c r="X308" i="131"/>
  <c r="X2346" i="131"/>
  <c r="I2290" i="131"/>
  <c r="X2029" i="131"/>
  <c r="M2029" i="131"/>
  <c r="X1570" i="131"/>
  <c r="M1570" i="131"/>
  <c r="L2039" i="131"/>
  <c r="J141" i="114"/>
  <c r="T1891" i="131"/>
  <c r="K1891" i="131"/>
  <c r="M1390" i="131"/>
  <c r="X1390" i="131"/>
  <c r="I266" i="114"/>
  <c r="L427" i="131"/>
  <c r="H426" i="131"/>
  <c r="M449" i="131"/>
  <c r="H343" i="114"/>
  <c r="L1538" i="131"/>
  <c r="J1537" i="131"/>
  <c r="K203" i="114"/>
  <c r="K202" i="114" s="1"/>
  <c r="L2145" i="131"/>
  <c r="M203" i="114" s="1"/>
  <c r="M202" i="114" s="1"/>
  <c r="I496" i="131"/>
  <c r="T497" i="131"/>
  <c r="K497" i="131"/>
  <c r="W497" i="131"/>
  <c r="I501" i="131"/>
  <c r="K25" i="114"/>
  <c r="M25" i="114" s="1"/>
  <c r="J2392" i="131"/>
  <c r="Q42" i="114" s="1"/>
  <c r="J1497" i="131"/>
  <c r="M433" i="131"/>
  <c r="X433" i="131"/>
  <c r="M482" i="131"/>
  <c r="N12" i="131"/>
  <c r="N11" i="131" s="1"/>
  <c r="N2468" i="131" s="1"/>
  <c r="W43" i="131"/>
  <c r="W1648" i="131"/>
  <c r="J974" i="131"/>
  <c r="L652" i="131"/>
  <c r="G176" i="131"/>
  <c r="K176" i="131" s="1"/>
  <c r="M176" i="131" s="1"/>
  <c r="W383" i="131"/>
  <c r="J758" i="131"/>
  <c r="L758" i="131" s="1"/>
  <c r="H28" i="114"/>
  <c r="H1233" i="131"/>
  <c r="L1233" i="131" s="1"/>
  <c r="L2407" i="131" s="1"/>
  <c r="M259" i="114"/>
  <c r="L1840" i="131"/>
  <c r="M225" i="114" s="1"/>
  <c r="M224" i="114" s="1"/>
  <c r="X1994" i="131"/>
  <c r="X414" i="131"/>
  <c r="X133" i="131"/>
  <c r="J119" i="114"/>
  <c r="J118" i="114" s="1"/>
  <c r="L780" i="131"/>
  <c r="K315" i="131"/>
  <c r="M315" i="131" s="1"/>
  <c r="S747" i="131"/>
  <c r="S746" i="131" s="1"/>
  <c r="U2436" i="131"/>
  <c r="J75" i="131"/>
  <c r="M53" i="114"/>
  <c r="T812" i="131"/>
  <c r="T1971" i="131"/>
  <c r="X20" i="131"/>
  <c r="I395" i="131"/>
  <c r="L975" i="131"/>
  <c r="L40" i="114"/>
  <c r="H392" i="114"/>
  <c r="H391" i="114" s="1"/>
  <c r="K410" i="131"/>
  <c r="K559" i="131"/>
  <c r="X67" i="131"/>
  <c r="W1618" i="131"/>
  <c r="L1726" i="131"/>
  <c r="M186" i="114"/>
  <c r="K1732" i="131"/>
  <c r="U1288" i="131"/>
  <c r="U1232" i="131" s="1"/>
  <c r="X895" i="131"/>
  <c r="K2340" i="131"/>
  <c r="M2340" i="131" s="1"/>
  <c r="J2105" i="131"/>
  <c r="J2104" i="131" s="1"/>
  <c r="L2375" i="131"/>
  <c r="H2105" i="131"/>
  <c r="H2104" i="131" s="1"/>
  <c r="H2103" i="131" s="1"/>
  <c r="M222" i="131"/>
  <c r="G974" i="131"/>
  <c r="X1384" i="131"/>
  <c r="K1479" i="131"/>
  <c r="T449" i="131"/>
  <c r="W371" i="131"/>
  <c r="X145" i="131"/>
  <c r="W315" i="131"/>
  <c r="K320" i="114"/>
  <c r="M320" i="114" s="1"/>
  <c r="M321" i="114"/>
  <c r="H15" i="114"/>
  <c r="H14" i="114" s="1"/>
  <c r="K1293" i="131"/>
  <c r="G1289" i="131"/>
  <c r="G2378" i="131" s="1"/>
  <c r="H316" i="114"/>
  <c r="H315" i="114" s="1"/>
  <c r="H314" i="114" s="1"/>
  <c r="G1472" i="131"/>
  <c r="G1464" i="131" s="1"/>
  <c r="G2396" i="131" s="1"/>
  <c r="X2096" i="131"/>
  <c r="M2096" i="131"/>
  <c r="K960" i="131"/>
  <c r="G959" i="131"/>
  <c r="W960" i="131"/>
  <c r="H176" i="114"/>
  <c r="X1713" i="131"/>
  <c r="L1157" i="131"/>
  <c r="X2170" i="131"/>
  <c r="J847" i="131"/>
  <c r="L848" i="131"/>
  <c r="T886" i="131"/>
  <c r="K886" i="131"/>
  <c r="U1017" i="131"/>
  <c r="U1016" i="131" s="1"/>
  <c r="U1015" i="131" s="1"/>
  <c r="K2245" i="131"/>
  <c r="I2244" i="131"/>
  <c r="K2244" i="131" s="1"/>
  <c r="J37" i="114"/>
  <c r="J806" i="131"/>
  <c r="L806" i="131" s="1"/>
  <c r="L807" i="131"/>
  <c r="X478" i="131"/>
  <c r="X353" i="131"/>
  <c r="M353" i="131"/>
  <c r="M106" i="131"/>
  <c r="X106" i="131"/>
  <c r="M801" i="131"/>
  <c r="X801" i="131"/>
  <c r="G2312" i="131"/>
  <c r="K2313" i="131"/>
  <c r="M2334" i="131"/>
  <c r="X2334" i="131"/>
  <c r="K136" i="114"/>
  <c r="L2237" i="131"/>
  <c r="M450" i="131"/>
  <c r="X450" i="131"/>
  <c r="L56" i="114"/>
  <c r="G2290" i="131"/>
  <c r="I382" i="131"/>
  <c r="K228" i="131"/>
  <c r="M228" i="131" s="1"/>
  <c r="W505" i="131"/>
  <c r="X142" i="131"/>
  <c r="T205" i="131"/>
  <c r="K1648" i="131"/>
  <c r="X1765" i="131"/>
  <c r="N381" i="131"/>
  <c r="N2394" i="131" s="1"/>
  <c r="I284" i="114"/>
  <c r="M1067" i="131"/>
  <c r="X1067" i="131"/>
  <c r="H1075" i="131"/>
  <c r="L1076" i="131"/>
  <c r="T1516" i="131"/>
  <c r="W1516" i="131"/>
  <c r="K1516" i="131"/>
  <c r="M1516" i="131" s="1"/>
  <c r="G1515" i="131"/>
  <c r="T1532" i="131"/>
  <c r="K1532" i="131"/>
  <c r="G1531" i="131"/>
  <c r="W1619" i="131"/>
  <c r="K1619" i="131"/>
  <c r="M1855" i="131"/>
  <c r="X1855" i="131"/>
  <c r="J285" i="114"/>
  <c r="L2339" i="131"/>
  <c r="L2452" i="131" s="1"/>
  <c r="X741" i="131"/>
  <c r="K856" i="131"/>
  <c r="W389" i="131"/>
  <c r="K695" i="131"/>
  <c r="M695" i="131" s="1"/>
  <c r="K383" i="131"/>
  <c r="M383" i="131" s="1"/>
  <c r="T1107" i="131"/>
  <c r="X467" i="131"/>
  <c r="K505" i="131"/>
  <c r="M505" i="131" s="1"/>
  <c r="K34" i="114"/>
  <c r="H1464" i="131"/>
  <c r="J309" i="114"/>
  <c r="J308" i="114" s="1"/>
  <c r="H2326" i="131"/>
  <c r="H2325" i="131" s="1"/>
  <c r="U370" i="131"/>
  <c r="U366" i="131" s="1"/>
  <c r="U365" i="131" s="1"/>
  <c r="U2383" i="131" s="1"/>
  <c r="S2431" i="131"/>
  <c r="S2432" i="131" s="1"/>
  <c r="S2384" i="131"/>
  <c r="T14" i="131"/>
  <c r="K2370" i="131"/>
  <c r="W740" i="131"/>
  <c r="H167" i="114"/>
  <c r="L167" i="114" s="1"/>
  <c r="H182" i="114"/>
  <c r="H181" i="114" s="1"/>
  <c r="W1971" i="131"/>
  <c r="X390" i="131"/>
  <c r="T695" i="131"/>
  <c r="X905" i="131"/>
  <c r="W228" i="131"/>
  <c r="T227" i="131"/>
  <c r="W227" i="131"/>
  <c r="K113" i="131"/>
  <c r="M113" i="131" s="1"/>
  <c r="J1724" i="131"/>
  <c r="I1731" i="131"/>
  <c r="W1731" i="131" s="1"/>
  <c r="I426" i="131"/>
  <c r="L2371" i="131"/>
  <c r="X492" i="131"/>
  <c r="J651" i="131"/>
  <c r="X236" i="131"/>
  <c r="K87" i="131"/>
  <c r="L66" i="114" s="1"/>
  <c r="L65" i="114" s="1"/>
  <c r="K2240" i="131"/>
  <c r="M2240" i="131" s="1"/>
  <c r="I370" i="131"/>
  <c r="I366" i="131" s="1"/>
  <c r="X1459" i="131"/>
  <c r="L777" i="131"/>
  <c r="S1889" i="131"/>
  <c r="S2423" i="131" s="1"/>
  <c r="H1821" i="131"/>
  <c r="H1820" i="131" s="1"/>
  <c r="H2421" i="131" s="1"/>
  <c r="D25" i="36" s="1"/>
  <c r="H139" i="114"/>
  <c r="N139" i="114" s="1"/>
  <c r="T1732" i="131"/>
  <c r="U2411" i="131"/>
  <c r="R381" i="131"/>
  <c r="R364" i="131" s="1"/>
  <c r="R357" i="131" s="1"/>
  <c r="K287" i="114"/>
  <c r="L1329" i="131"/>
  <c r="M287" i="114" s="1"/>
  <c r="J1325" i="131"/>
  <c r="I1065" i="131"/>
  <c r="T1066" i="131"/>
  <c r="K1066" i="131"/>
  <c r="W1066" i="131"/>
  <c r="H20" i="114"/>
  <c r="H19" i="114" s="1"/>
  <c r="K1299" i="131"/>
  <c r="K1317" i="131"/>
  <c r="H41" i="114"/>
  <c r="L41" i="114" s="1"/>
  <c r="I252" i="114"/>
  <c r="X1697" i="131"/>
  <c r="X2308" i="131"/>
  <c r="M2308" i="131"/>
  <c r="M201" i="114"/>
  <c r="M200" i="114" s="1"/>
  <c r="M392" i="114"/>
  <c r="M391" i="114" s="1"/>
  <c r="M22" i="114"/>
  <c r="M21" i="114" s="1"/>
  <c r="I2312" i="131"/>
  <c r="K2316" i="131"/>
  <c r="M2170" i="131"/>
  <c r="L886" i="131"/>
  <c r="J885" i="131"/>
  <c r="K104" i="114"/>
  <c r="K103" i="114" s="1"/>
  <c r="T517" i="131"/>
  <c r="W517" i="131"/>
  <c r="K517" i="131"/>
  <c r="M517" i="131" s="1"/>
  <c r="L402" i="131"/>
  <c r="I490" i="131"/>
  <c r="W491" i="131"/>
  <c r="M428" i="131"/>
  <c r="X428" i="131"/>
  <c r="M308" i="131"/>
  <c r="M251" i="131"/>
  <c r="J234" i="131"/>
  <c r="L234" i="131" s="1"/>
  <c r="L235" i="131"/>
  <c r="K303" i="114"/>
  <c r="M1012" i="131"/>
  <c r="K990" i="131"/>
  <c r="M2305" i="131"/>
  <c r="X2305" i="131"/>
  <c r="J856" i="131"/>
  <c r="K401" i="114"/>
  <c r="K432" i="131"/>
  <c r="M432" i="131" s="1"/>
  <c r="T432" i="131"/>
  <c r="I104" i="131"/>
  <c r="W105" i="131"/>
  <c r="K105" i="131"/>
  <c r="M913" i="131"/>
  <c r="X913" i="131"/>
  <c r="K791" i="131"/>
  <c r="X392" i="131"/>
  <c r="H257" i="114"/>
  <c r="R2404" i="131"/>
  <c r="X1601" i="131"/>
  <c r="G395" i="131"/>
  <c r="K1628" i="131"/>
  <c r="M1628" i="131" s="1"/>
  <c r="I119" i="114"/>
  <c r="I118" i="114" s="1"/>
  <c r="M118" i="114" s="1"/>
  <c r="L323" i="114"/>
  <c r="K101" i="114"/>
  <c r="K100" i="114" s="1"/>
  <c r="K99" i="114" s="1"/>
  <c r="J695" i="131"/>
  <c r="I2226" i="131"/>
  <c r="T410" i="131"/>
  <c r="W1628" i="131"/>
  <c r="X1286" i="131"/>
  <c r="X2044" i="131"/>
  <c r="M2275" i="131"/>
  <c r="W1196" i="131"/>
  <c r="S1482" i="131"/>
  <c r="X150" i="131"/>
  <c r="M209" i="114"/>
  <c r="M208" i="114" s="1"/>
  <c r="K100" i="131"/>
  <c r="H689" i="131"/>
  <c r="H2441" i="131" s="1"/>
  <c r="D45" i="36" s="1"/>
  <c r="M1822" i="131"/>
  <c r="X1822" i="131"/>
  <c r="L211" i="114"/>
  <c r="L210" i="114" s="1"/>
  <c r="K1728" i="131"/>
  <c r="L54" i="114" s="1"/>
  <c r="H54" i="114"/>
  <c r="H53" i="114" s="1"/>
  <c r="W1728" i="131"/>
  <c r="G1727" i="131"/>
  <c r="T1728" i="131"/>
  <c r="J754" i="131"/>
  <c r="K76" i="114"/>
  <c r="K75" i="114" s="1"/>
  <c r="K66" i="131"/>
  <c r="T66" i="131"/>
  <c r="G65" i="131"/>
  <c r="W66" i="131"/>
  <c r="M281" i="131"/>
  <c r="X281" i="131"/>
  <c r="J318" i="114"/>
  <c r="L318" i="114" s="1"/>
  <c r="L319" i="114"/>
  <c r="M1377" i="131"/>
  <c r="X1377" i="131"/>
  <c r="I30" i="114"/>
  <c r="M30" i="114" s="1"/>
  <c r="L655" i="131"/>
  <c r="H278" i="114"/>
  <c r="G287" i="131"/>
  <c r="X1273" i="131"/>
  <c r="H1282" i="131"/>
  <c r="L1283" i="131"/>
  <c r="L1172" i="131"/>
  <c r="H1171" i="131"/>
  <c r="I182" i="114"/>
  <c r="K219" i="131"/>
  <c r="W219" i="131"/>
  <c r="H1306" i="131"/>
  <c r="L1306" i="131" s="1"/>
  <c r="L1311" i="131"/>
  <c r="I36" i="114"/>
  <c r="M36" i="114" s="1"/>
  <c r="S2402" i="131"/>
  <c r="I159" i="114"/>
  <c r="X1865" i="131"/>
  <c r="I141" i="114"/>
  <c r="I140" i="114" s="1"/>
  <c r="M140" i="114" s="1"/>
  <c r="W2168" i="131"/>
  <c r="K2168" i="131"/>
  <c r="K213" i="131"/>
  <c r="M213" i="131" s="1"/>
  <c r="G212" i="131"/>
  <c r="X84" i="131"/>
  <c r="X1541" i="131"/>
  <c r="K1596" i="131"/>
  <c r="M1596" i="131" s="1"/>
  <c r="W1596" i="131"/>
  <c r="I300" i="114"/>
  <c r="I298" i="114" s="1"/>
  <c r="L1186" i="131"/>
  <c r="M28" i="114"/>
  <c r="J1103" i="131"/>
  <c r="L1103" i="131" s="1"/>
  <c r="K165" i="114"/>
  <c r="H227" i="131"/>
  <c r="H226" i="131" s="1"/>
  <c r="H225" i="131" s="1"/>
  <c r="H224" i="131" s="1"/>
  <c r="H2471" i="131" s="1"/>
  <c r="W280" i="131"/>
  <c r="G279" i="131"/>
  <c r="W1864" i="131"/>
  <c r="K1864" i="131"/>
  <c r="M1864" i="131" s="1"/>
  <c r="K280" i="131"/>
  <c r="J288" i="114"/>
  <c r="K2249" i="131"/>
  <c r="L288" i="114" s="1"/>
  <c r="U2408" i="131"/>
  <c r="U12" i="131"/>
  <c r="U11" i="131" s="1"/>
  <c r="U2468" i="131" s="1"/>
  <c r="L123" i="131"/>
  <c r="H112" i="131"/>
  <c r="I398" i="114"/>
  <c r="M1667" i="131"/>
  <c r="X1667" i="131"/>
  <c r="T219" i="131"/>
  <c r="G2383" i="131"/>
  <c r="X900" i="131"/>
  <c r="X1238" i="131"/>
  <c r="M785" i="131"/>
  <c r="X785" i="131"/>
  <c r="G1739" i="131"/>
  <c r="W1740" i="131"/>
  <c r="X1740" i="131" s="1"/>
  <c r="G2361" i="131"/>
  <c r="K2362" i="131"/>
  <c r="M2362" i="131" s="1"/>
  <c r="M134" i="114"/>
  <c r="H313" i="114"/>
  <c r="H312" i="114" s="1"/>
  <c r="K485" i="131"/>
  <c r="G484" i="131"/>
  <c r="G475" i="131" s="1"/>
  <c r="W83" i="131"/>
  <c r="K83" i="131"/>
  <c r="H64" i="114"/>
  <c r="H63" i="114" s="1"/>
  <c r="H58" i="114" s="1"/>
  <c r="G75" i="131"/>
  <c r="G2385" i="131" s="1"/>
  <c r="K1629" i="131"/>
  <c r="X1629" i="131" s="1"/>
  <c r="T1629" i="131"/>
  <c r="M353" i="114"/>
  <c r="M352" i="114" s="1"/>
  <c r="G1103" i="131"/>
  <c r="G1102" i="131" s="1"/>
  <c r="K1104" i="131"/>
  <c r="J716" i="131"/>
  <c r="K400" i="114"/>
  <c r="I278" i="131"/>
  <c r="I2417" i="131"/>
  <c r="X940" i="131"/>
  <c r="R1671" i="131"/>
  <c r="R2381" i="131"/>
  <c r="K2089" i="131"/>
  <c r="T2089" i="131"/>
  <c r="W2089" i="131"/>
  <c r="H85" i="114"/>
  <c r="H84" i="114" s="1"/>
  <c r="M150" i="131"/>
  <c r="K205" i="131"/>
  <c r="M205" i="131" s="1"/>
  <c r="U805" i="131"/>
  <c r="U2433" i="131" s="1"/>
  <c r="U2374" i="131"/>
  <c r="L658" i="131"/>
  <c r="I34" i="114"/>
  <c r="M1296" i="131"/>
  <c r="V2386" i="131"/>
  <c r="W1074" i="131"/>
  <c r="W1608" i="131"/>
  <c r="T318" i="131"/>
  <c r="M1085" i="131"/>
  <c r="X943" i="131"/>
  <c r="L110" i="114"/>
  <c r="S1288" i="131"/>
  <c r="W2291" i="131"/>
  <c r="J448" i="131"/>
  <c r="M1541" i="131"/>
  <c r="S1583" i="131"/>
  <c r="R2436" i="131"/>
  <c r="V2431" i="131"/>
  <c r="V2432" i="131" s="1"/>
  <c r="V2136" i="131"/>
  <c r="U2289" i="131"/>
  <c r="U2450" i="131" s="1"/>
  <c r="U2453" i="131" s="1"/>
  <c r="U2384" i="131"/>
  <c r="M2300" i="131"/>
  <c r="H2454" i="131"/>
  <c r="H2455" i="131" s="1"/>
  <c r="I2103" i="131"/>
  <c r="N1812" i="131"/>
  <c r="N1767" i="131" s="1"/>
  <c r="N2476" i="131" s="1"/>
  <c r="L463" i="131"/>
  <c r="M647" i="131"/>
  <c r="I128" i="114"/>
  <c r="X1189" i="131"/>
  <c r="M1189" i="131"/>
  <c r="X882" i="131"/>
  <c r="K11" i="114"/>
  <c r="M1224" i="131"/>
  <c r="S1432" i="131"/>
  <c r="V2436" i="131"/>
  <c r="L181" i="131"/>
  <c r="L2391" i="131" s="1"/>
  <c r="L18" i="114"/>
  <c r="L16" i="114" s="1"/>
  <c r="X1244" i="131"/>
  <c r="X2004" i="131"/>
  <c r="X721" i="131"/>
  <c r="M721" i="131"/>
  <c r="W2025" i="131"/>
  <c r="K2025" i="131"/>
  <c r="T2025" i="131"/>
  <c r="G2024" i="131"/>
  <c r="U2393" i="131"/>
  <c r="U2174" i="131"/>
  <c r="U2173" i="131" s="1"/>
  <c r="K1074" i="131"/>
  <c r="M1074" i="131" s="1"/>
  <c r="G201" i="131"/>
  <c r="G200" i="131" s="1"/>
  <c r="X2293" i="131"/>
  <c r="J12" i="131"/>
  <c r="J11" i="131" s="1"/>
  <c r="J2468" i="131" s="1"/>
  <c r="X164" i="131"/>
  <c r="X2175" i="131"/>
  <c r="H116" i="114"/>
  <c r="L116" i="114" s="1"/>
  <c r="L117" i="114"/>
  <c r="I96" i="114"/>
  <c r="I95" i="114" s="1"/>
  <c r="H624" i="131"/>
  <c r="H611" i="131" s="1"/>
  <c r="H567" i="131" s="1"/>
  <c r="H739" i="131"/>
  <c r="L740" i="131"/>
  <c r="M1630" i="131"/>
  <c r="X1630" i="131"/>
  <c r="I275" i="114"/>
  <c r="H443" i="131"/>
  <c r="L443" i="131" s="1"/>
  <c r="L444" i="131"/>
  <c r="L1897" i="131"/>
  <c r="I145" i="114"/>
  <c r="H1890" i="131"/>
  <c r="H42" i="131"/>
  <c r="L42" i="131" s="1"/>
  <c r="K278" i="114"/>
  <c r="J2369" i="131"/>
  <c r="J287" i="131"/>
  <c r="J286" i="131" s="1"/>
  <c r="J285" i="131" s="1"/>
  <c r="L282" i="114"/>
  <c r="M1326" i="131"/>
  <c r="K55" i="114"/>
  <c r="K1478" i="131"/>
  <c r="L355" i="114"/>
  <c r="L354" i="114" s="1"/>
  <c r="J2037" i="131"/>
  <c r="L2038" i="131"/>
  <c r="L280" i="131"/>
  <c r="J279" i="131"/>
  <c r="M64" i="114"/>
  <c r="M63" i="114" s="1"/>
  <c r="G2401" i="131"/>
  <c r="K108" i="131"/>
  <c r="T1074" i="131"/>
  <c r="S2404" i="131"/>
  <c r="M955" i="131"/>
  <c r="X948" i="131"/>
  <c r="X549" i="131"/>
  <c r="H1484" i="131"/>
  <c r="H1483" i="131" s="1"/>
  <c r="H2036" i="131"/>
  <c r="H2399" i="131"/>
  <c r="M607" i="131"/>
  <c r="M1244" i="131"/>
  <c r="K285" i="114"/>
  <c r="L455" i="131"/>
  <c r="J70" i="114"/>
  <c r="J69" i="114" s="1"/>
  <c r="K94" i="131"/>
  <c r="L70" i="114" s="1"/>
  <c r="L69" i="114" s="1"/>
  <c r="M1539" i="131"/>
  <c r="H1733" i="131"/>
  <c r="L1734" i="131"/>
  <c r="H1672" i="131"/>
  <c r="H1671" i="131" s="1"/>
  <c r="K79" i="131"/>
  <c r="W79" i="131"/>
  <c r="I75" i="131"/>
  <c r="J62" i="114"/>
  <c r="J61" i="114" s="1"/>
  <c r="J497" i="131"/>
  <c r="L498" i="131"/>
  <c r="K299" i="114"/>
  <c r="K298" i="114" s="1"/>
  <c r="L186" i="131"/>
  <c r="J185" i="131"/>
  <c r="L185" i="131" s="1"/>
  <c r="J154" i="114"/>
  <c r="J153" i="114" s="1"/>
  <c r="J152" i="114" s="1"/>
  <c r="I811" i="131"/>
  <c r="I810" i="131" s="1"/>
  <c r="I805" i="131" s="1"/>
  <c r="K378" i="114"/>
  <c r="H203" i="114"/>
  <c r="H202" i="114" s="1"/>
  <c r="K2145" i="131"/>
  <c r="L203" i="114" s="1"/>
  <c r="L202" i="114" s="1"/>
  <c r="J201" i="114"/>
  <c r="J200" i="114" s="1"/>
  <c r="K2142" i="131"/>
  <c r="I2137" i="131"/>
  <c r="W1234" i="131"/>
  <c r="T1234" i="131"/>
  <c r="I1233" i="131"/>
  <c r="T569" i="131"/>
  <c r="I168" i="114"/>
  <c r="L1018" i="131"/>
  <c r="X1587" i="131"/>
  <c r="M1587" i="131"/>
  <c r="W1223" i="131"/>
  <c r="V2427" i="131"/>
  <c r="W238" i="131"/>
  <c r="T238" i="131"/>
  <c r="H2392" i="131"/>
  <c r="O42" i="114" s="1"/>
  <c r="H1497" i="131"/>
  <c r="H2436" i="131" s="1"/>
  <c r="D40" i="36" s="1"/>
  <c r="J217" i="114"/>
  <c r="J216" i="114" s="1"/>
  <c r="K2154" i="131"/>
  <c r="J490" i="131"/>
  <c r="L491" i="131"/>
  <c r="L511" i="131"/>
  <c r="M305" i="114" s="1"/>
  <c r="K215" i="114"/>
  <c r="K214" i="114" s="1"/>
  <c r="L1828" i="131"/>
  <c r="M215" i="114" s="1"/>
  <c r="M214" i="114" s="1"/>
  <c r="L106" i="114"/>
  <c r="H165" i="114"/>
  <c r="H164" i="114" s="1"/>
  <c r="G951" i="131"/>
  <c r="G903" i="131" s="1"/>
  <c r="X1545" i="131"/>
  <c r="M211" i="114"/>
  <c r="M210" i="114" s="1"/>
  <c r="T1563" i="131"/>
  <c r="I1562" i="131"/>
  <c r="K2163" i="131"/>
  <c r="M2163" i="131" s="1"/>
  <c r="W2163" i="131"/>
  <c r="J13" i="114"/>
  <c r="J12" i="114" s="1"/>
  <c r="K1290" i="131"/>
  <c r="L477" i="131"/>
  <c r="J476" i="131"/>
  <c r="M2004" i="131"/>
  <c r="H78" i="114"/>
  <c r="H77" i="114" s="1"/>
  <c r="V2395" i="131"/>
  <c r="S285" i="131"/>
  <c r="S284" i="131" s="1"/>
  <c r="W126" i="131"/>
  <c r="J1038" i="131"/>
  <c r="L1043" i="131"/>
  <c r="H2267" i="131"/>
  <c r="L2268" i="131"/>
  <c r="M1022" i="131"/>
  <c r="X1022" i="131"/>
  <c r="X1397" i="131"/>
  <c r="M1397" i="131"/>
  <c r="G1870" i="131"/>
  <c r="G2404" i="131" s="1"/>
  <c r="K1871" i="131"/>
  <c r="W1871" i="131"/>
  <c r="X1210" i="131"/>
  <c r="J1107" i="131"/>
  <c r="K179" i="114"/>
  <c r="K178" i="114" s="1"/>
  <c r="K177" i="114" s="1"/>
  <c r="M1226" i="131"/>
  <c r="X1226" i="131"/>
  <c r="X137" i="131"/>
  <c r="G1537" i="131"/>
  <c r="T1538" i="131"/>
  <c r="W1538" i="131"/>
  <c r="K1538" i="131"/>
  <c r="H114" i="114"/>
  <c r="I1282" i="131"/>
  <c r="W1283" i="131"/>
  <c r="K1283" i="131"/>
  <c r="T1283" i="131"/>
  <c r="K123" i="131"/>
  <c r="M123" i="131" s="1"/>
  <c r="J398" i="114"/>
  <c r="K383" i="114"/>
  <c r="M1677" i="131"/>
  <c r="X1677" i="131"/>
  <c r="X1998" i="131"/>
  <c r="R1288" i="131"/>
  <c r="R2395" i="131"/>
  <c r="M306" i="114"/>
  <c r="S884" i="131"/>
  <c r="S2434" i="131" s="1"/>
  <c r="S2386" i="131"/>
  <c r="K569" i="131"/>
  <c r="R2288" i="131"/>
  <c r="I290" i="114"/>
  <c r="I289" i="114" s="1"/>
  <c r="L1333" i="131"/>
  <c r="L1163" i="131"/>
  <c r="I35" i="114"/>
  <c r="G185" i="131"/>
  <c r="G180" i="131" s="1"/>
  <c r="H299" i="114"/>
  <c r="H298" i="114" s="1"/>
  <c r="L383" i="131"/>
  <c r="I239" i="114"/>
  <c r="G2397" i="131"/>
  <c r="N317" i="114" s="1"/>
  <c r="L2284" i="131"/>
  <c r="J2283" i="131"/>
  <c r="H2290" i="131"/>
  <c r="H2289" i="131" s="1"/>
  <c r="L2291" i="131"/>
  <c r="L2191" i="131"/>
  <c r="H2190" i="131"/>
  <c r="H112" i="114"/>
  <c r="K1919" i="131"/>
  <c r="J347" i="114"/>
  <c r="J346" i="114" s="1"/>
  <c r="X931" i="131"/>
  <c r="K98" i="114"/>
  <c r="K97" i="114" s="1"/>
  <c r="L631" i="131"/>
  <c r="I537" i="131"/>
  <c r="I536" i="131" s="1"/>
  <c r="W538" i="131"/>
  <c r="K538" i="131"/>
  <c r="T538" i="131"/>
  <c r="J80" i="114"/>
  <c r="J79" i="114" s="1"/>
  <c r="X541" i="131"/>
  <c r="G2339" i="131"/>
  <c r="W2340" i="131"/>
  <c r="X2340" i="131" s="1"/>
  <c r="H2359" i="131"/>
  <c r="L2359" i="131" s="1"/>
  <c r="L2360" i="131"/>
  <c r="J1628" i="131"/>
  <c r="L1629" i="131"/>
  <c r="J1065" i="131"/>
  <c r="L1066" i="131"/>
  <c r="U2395" i="131"/>
  <c r="S2408" i="131"/>
  <c r="S12" i="131"/>
  <c r="S11" i="131" s="1"/>
  <c r="S2468" i="131" s="1"/>
  <c r="U1607" i="131"/>
  <c r="U2454" i="131"/>
  <c r="U2455" i="131" s="1"/>
  <c r="H978" i="131"/>
  <c r="I306" i="114"/>
  <c r="I123" i="114"/>
  <c r="M124" i="114"/>
  <c r="L959" i="131"/>
  <c r="X187" i="131"/>
  <c r="L371" i="131"/>
  <c r="H370" i="131"/>
  <c r="X411" i="131"/>
  <c r="M411" i="131"/>
  <c r="H2408" i="131"/>
  <c r="D10" i="36" s="1"/>
  <c r="L13" i="131"/>
  <c r="L2408" i="131" s="1"/>
  <c r="H501" i="131"/>
  <c r="U1617" i="131"/>
  <c r="U1616" i="131" s="1"/>
  <c r="H137" i="114"/>
  <c r="L137" i="114" s="1"/>
  <c r="L138" i="114"/>
  <c r="W1075" i="131"/>
  <c r="K1075" i="131"/>
  <c r="T476" i="131"/>
  <c r="K476" i="131"/>
  <c r="W476" i="131"/>
  <c r="M1586" i="131"/>
  <c r="J1483" i="131"/>
  <c r="J297" i="114"/>
  <c r="K2252" i="131"/>
  <c r="L297" i="114" s="1"/>
  <c r="J321" i="114"/>
  <c r="K2075" i="131"/>
  <c r="I2071" i="131"/>
  <c r="K355" i="114"/>
  <c r="K354" i="114" s="1"/>
  <c r="L1934" i="131"/>
  <c r="J143" i="114"/>
  <c r="K1894" i="131"/>
  <c r="J1871" i="131"/>
  <c r="L1872" i="131"/>
  <c r="J231" i="114"/>
  <c r="J230" i="114" s="1"/>
  <c r="K1851" i="131"/>
  <c r="L231" i="114" s="1"/>
  <c r="L230" i="114" s="1"/>
  <c r="K223" i="114"/>
  <c r="K222" i="114" s="1"/>
  <c r="J1821" i="131"/>
  <c r="J1820" i="131" s="1"/>
  <c r="L1837" i="131"/>
  <c r="M223" i="114" s="1"/>
  <c r="M222" i="114" s="1"/>
  <c r="I903" i="131"/>
  <c r="I898" i="131"/>
  <c r="T899" i="131"/>
  <c r="K899" i="131"/>
  <c r="M899" i="131" s="1"/>
  <c r="W899" i="131"/>
  <c r="M549" i="131"/>
  <c r="J227" i="131"/>
  <c r="L228" i="131"/>
  <c r="H1878" i="131"/>
  <c r="L1879" i="131"/>
  <c r="M361" i="114" s="1"/>
  <c r="M360" i="114" s="1"/>
  <c r="I361" i="114"/>
  <c r="I360" i="114" s="1"/>
  <c r="I343" i="114" s="1"/>
  <c r="H1107" i="131"/>
  <c r="H1102" i="131" s="1"/>
  <c r="I179" i="114"/>
  <c r="H27" i="114"/>
  <c r="K1307" i="131"/>
  <c r="G1306" i="131"/>
  <c r="G2085" i="131"/>
  <c r="K2085" i="131" s="1"/>
  <c r="K2086" i="131"/>
  <c r="M1303" i="131"/>
  <c r="L22" i="114"/>
  <c r="L21" i="114" s="1"/>
  <c r="S2421" i="131"/>
  <c r="J316" i="114"/>
  <c r="I1472" i="131"/>
  <c r="K1473" i="131"/>
  <c r="K458" i="131"/>
  <c r="T458" i="131"/>
  <c r="W458" i="131"/>
  <c r="I80" i="114"/>
  <c r="I79" i="114" s="1"/>
  <c r="L538" i="131"/>
  <c r="H537" i="131"/>
  <c r="K1043" i="131"/>
  <c r="G1038" i="131"/>
  <c r="V1617" i="131"/>
  <c r="V1616" i="131" s="1"/>
  <c r="V1820" i="131"/>
  <c r="V2398" i="131"/>
  <c r="M841" i="131"/>
  <c r="X841" i="131"/>
  <c r="W1058" i="131"/>
  <c r="T1058" i="131"/>
  <c r="K1058" i="131"/>
  <c r="I304" i="114"/>
  <c r="L1339" i="131"/>
  <c r="H1325" i="131"/>
  <c r="K812" i="131"/>
  <c r="X780" i="131"/>
  <c r="M780" i="131"/>
  <c r="K2212" i="131"/>
  <c r="X2212" i="131" s="1"/>
  <c r="H2407" i="131"/>
  <c r="D9" i="36" s="1"/>
  <c r="I312" i="114"/>
  <c r="M313" i="114"/>
  <c r="I1607" i="131"/>
  <c r="W1607" i="131" s="1"/>
  <c r="I2454" i="131"/>
  <c r="T1608" i="131"/>
  <c r="G1584" i="131"/>
  <c r="T1585" i="131"/>
  <c r="K1585" i="131"/>
  <c r="W1585" i="131"/>
  <c r="X2177" i="131"/>
  <c r="M2177" i="131"/>
  <c r="L90" i="114"/>
  <c r="X80" i="131"/>
  <c r="M80" i="131"/>
  <c r="L2245" i="131"/>
  <c r="M37" i="114" s="1"/>
  <c r="J2244" i="131"/>
  <c r="K37" i="114"/>
  <c r="I2067" i="131"/>
  <c r="J209" i="114"/>
  <c r="J208" i="114" s="1"/>
  <c r="K2068" i="131"/>
  <c r="K283" i="114"/>
  <c r="K280" i="114" s="1"/>
  <c r="L1904" i="131"/>
  <c r="J1903" i="131"/>
  <c r="L1903" i="131" s="1"/>
  <c r="L1864" i="131"/>
  <c r="K227" i="114"/>
  <c r="K226" i="114" s="1"/>
  <c r="L1844" i="131"/>
  <c r="M227" i="114" s="1"/>
  <c r="M226" i="114" s="1"/>
  <c r="K96" i="114"/>
  <c r="K95" i="114" s="1"/>
  <c r="L625" i="131"/>
  <c r="J624" i="131"/>
  <c r="J568" i="131"/>
  <c r="L590" i="131"/>
  <c r="K82" i="114"/>
  <c r="K81" i="114" s="1"/>
  <c r="K78" i="114"/>
  <c r="K77" i="114" s="1"/>
  <c r="L569" i="131"/>
  <c r="M545" i="131"/>
  <c r="X545" i="131"/>
  <c r="H227" i="114"/>
  <c r="H226" i="114" s="1"/>
  <c r="K1844" i="131"/>
  <c r="L227" i="114" s="1"/>
  <c r="L226" i="114" s="1"/>
  <c r="G1821" i="131"/>
  <c r="H51" i="114"/>
  <c r="H50" i="114" s="1"/>
  <c r="H49" i="114" s="1"/>
  <c r="G1673" i="131"/>
  <c r="G1672" i="131" s="1"/>
  <c r="G1671" i="131" s="1"/>
  <c r="X916" i="131"/>
  <c r="L1727" i="131"/>
  <c r="J313" i="114"/>
  <c r="K1465" i="131"/>
  <c r="J270" i="114"/>
  <c r="W435" i="131"/>
  <c r="T435" i="131"/>
  <c r="K435" i="131"/>
  <c r="N1607" i="131"/>
  <c r="N1231" i="131" s="1"/>
  <c r="N2474" i="131" s="1"/>
  <c r="N2454" i="131"/>
  <c r="N2455" i="131" s="1"/>
  <c r="U2431" i="131"/>
  <c r="U2432" i="131" s="1"/>
  <c r="U2136" i="131"/>
  <c r="U74" i="131"/>
  <c r="U2402" i="131"/>
  <c r="I175" i="114"/>
  <c r="M176" i="114"/>
  <c r="U2036" i="131"/>
  <c r="U2399" i="131"/>
  <c r="K126" i="114"/>
  <c r="M127" i="114"/>
  <c r="I116" i="114"/>
  <c r="M117" i="114"/>
  <c r="L307" i="114"/>
  <c r="K2191" i="131"/>
  <c r="M2191" i="131" s="1"/>
  <c r="G2190" i="131"/>
  <c r="M182" i="131"/>
  <c r="M1740" i="131"/>
  <c r="N2404" i="131"/>
  <c r="L98" i="114"/>
  <c r="L97" i="114" s="1"/>
  <c r="J353" i="114"/>
  <c r="J352" i="114" s="1"/>
  <c r="K1931" i="131"/>
  <c r="I1890" i="131"/>
  <c r="T1897" i="131"/>
  <c r="K1897" i="131"/>
  <c r="W1897" i="131"/>
  <c r="J145" i="114"/>
  <c r="K85" i="114"/>
  <c r="K84" i="114" s="1"/>
  <c r="I527" i="131"/>
  <c r="T528" i="131"/>
  <c r="K528" i="131"/>
  <c r="M528" i="131" s="1"/>
  <c r="W528" i="131"/>
  <c r="L1429" i="131"/>
  <c r="L1425" i="131" s="1"/>
  <c r="H1425" i="131"/>
  <c r="H1424" i="131" s="1"/>
  <c r="H1247" i="131"/>
  <c r="L2370" i="131"/>
  <c r="L1108" i="131"/>
  <c r="G672" i="131"/>
  <c r="K672" i="131" s="1"/>
  <c r="M672" i="131" s="1"/>
  <c r="H400" i="114"/>
  <c r="K673" i="131"/>
  <c r="M673" i="131" s="1"/>
  <c r="I154" i="114"/>
  <c r="H811" i="131"/>
  <c r="H810" i="131" s="1"/>
  <c r="M2293" i="131"/>
  <c r="H286" i="114"/>
  <c r="K1179" i="131"/>
  <c r="W1179" i="131"/>
  <c r="T1179" i="131"/>
  <c r="G1175" i="131"/>
  <c r="K1175" i="131" s="1"/>
  <c r="I2391" i="131"/>
  <c r="K181" i="131"/>
  <c r="K2391" i="131" s="1"/>
  <c r="H206" i="131"/>
  <c r="L207" i="131"/>
  <c r="J223" i="114"/>
  <c r="J222" i="114" s="1"/>
  <c r="K1837" i="131"/>
  <c r="L223" i="114" s="1"/>
  <c r="L222" i="114" s="1"/>
  <c r="J1769" i="131"/>
  <c r="L1770" i="131"/>
  <c r="L1550" i="131"/>
  <c r="J1549" i="131"/>
  <c r="K1764" i="131"/>
  <c r="M1764" i="131" s="1"/>
  <c r="T1764" i="131"/>
  <c r="W1764" i="131"/>
  <c r="M189" i="114"/>
  <c r="K188" i="114"/>
  <c r="M188" i="114" s="1"/>
  <c r="K244" i="114"/>
  <c r="M245" i="114"/>
  <c r="V1521" i="131"/>
  <c r="V2443" i="131"/>
  <c r="V2444" i="131" s="1"/>
  <c r="L1527" i="131"/>
  <c r="H1522" i="131"/>
  <c r="M1180" i="131"/>
  <c r="X1180" i="131"/>
  <c r="L1168" i="131"/>
  <c r="I40" i="114"/>
  <c r="M40" i="114" s="1"/>
  <c r="H1151" i="131"/>
  <c r="K1878" i="131"/>
  <c r="K1877" i="131" s="1"/>
  <c r="W1627" i="131"/>
  <c r="T1627" i="131"/>
  <c r="I1617" i="131"/>
  <c r="I1616" i="131" s="1"/>
  <c r="K1627" i="131"/>
  <c r="M1627" i="131" s="1"/>
  <c r="R1015" i="131"/>
  <c r="R2386" i="131"/>
  <c r="L665" i="131"/>
  <c r="I39" i="114"/>
  <c r="M1638" i="131"/>
  <c r="X1638" i="131"/>
  <c r="I716" i="131"/>
  <c r="K717" i="131"/>
  <c r="M717" i="131" s="1"/>
  <c r="J400" i="114"/>
  <c r="K190" i="131"/>
  <c r="M190" i="131" s="1"/>
  <c r="I189" i="131"/>
  <c r="K189" i="131" s="1"/>
  <c r="M189" i="131" s="1"/>
  <c r="M1721" i="131"/>
  <c r="H172" i="114"/>
  <c r="L173" i="114"/>
  <c r="M250" i="114"/>
  <c r="I249" i="114"/>
  <c r="M249" i="114" s="1"/>
  <c r="K310" i="114"/>
  <c r="K308" i="114" s="1"/>
  <c r="M116" i="131"/>
  <c r="L394" i="114"/>
  <c r="L393" i="114" s="1"/>
  <c r="M13" i="114"/>
  <c r="M12" i="114" s="1"/>
  <c r="K1440" i="131"/>
  <c r="I1433" i="131"/>
  <c r="I2390" i="131" s="1"/>
  <c r="J187" i="114"/>
  <c r="K971" i="131"/>
  <c r="G964" i="131"/>
  <c r="W971" i="131"/>
  <c r="J195" i="114"/>
  <c r="L196" i="114"/>
  <c r="K655" i="131"/>
  <c r="G651" i="131"/>
  <c r="H30" i="114"/>
  <c r="W407" i="131"/>
  <c r="T407" i="131"/>
  <c r="K407" i="131"/>
  <c r="J255" i="114"/>
  <c r="H1704" i="131"/>
  <c r="M1642" i="131"/>
  <c r="X1642" i="131"/>
  <c r="I309" i="114"/>
  <c r="I308" i="114" s="1"/>
  <c r="L326" i="131"/>
  <c r="L322" i="131" s="1"/>
  <c r="I1821" i="131"/>
  <c r="K1825" i="131"/>
  <c r="L213" i="114" s="1"/>
  <c r="L212" i="114" s="1"/>
  <c r="J213" i="114"/>
  <c r="J212" i="114" s="1"/>
  <c r="K1637" i="131"/>
  <c r="W1637" i="131"/>
  <c r="J1531" i="131"/>
  <c r="L1532" i="131"/>
  <c r="M76" i="114"/>
  <c r="M75" i="114" s="1"/>
  <c r="I1221" i="131"/>
  <c r="W1222" i="131"/>
  <c r="K1222" i="131"/>
  <c r="M1222" i="131" s="1"/>
  <c r="T1222" i="131"/>
  <c r="L1508" i="131"/>
  <c r="H1507" i="131"/>
  <c r="H2458" i="131"/>
  <c r="L1725" i="131"/>
  <c r="L2458" i="131" s="1"/>
  <c r="H66" i="36" s="1"/>
  <c r="J50" i="114"/>
  <c r="K1674" i="131"/>
  <c r="M1674" i="131" s="1"/>
  <c r="X1686" i="131"/>
  <c r="W1674" i="131"/>
  <c r="I1673" i="131"/>
  <c r="T1674" i="131"/>
  <c r="M1260" i="131"/>
  <c r="X1260" i="131"/>
  <c r="X1190" i="131"/>
  <c r="M1190" i="131"/>
  <c r="L295" i="114"/>
  <c r="M456" i="131"/>
  <c r="X456" i="131"/>
  <c r="K551" i="131"/>
  <c r="M551" i="131" s="1"/>
  <c r="T551" i="131"/>
  <c r="W551" i="131"/>
  <c r="H377" i="114"/>
  <c r="M177" i="131"/>
  <c r="H287" i="131"/>
  <c r="L312" i="131"/>
  <c r="L318" i="131"/>
  <c r="M106" i="114"/>
  <c r="L108" i="131"/>
  <c r="L2401" i="131" s="1"/>
  <c r="H2401" i="131"/>
  <c r="H248" i="114"/>
  <c r="K396" i="131"/>
  <c r="H169" i="114"/>
  <c r="L169" i="114" s="1"/>
  <c r="L170" i="114"/>
  <c r="L1034" i="131"/>
  <c r="J1017" i="131"/>
  <c r="L34" i="114"/>
  <c r="L100" i="131"/>
  <c r="M389" i="114"/>
  <c r="I388" i="114"/>
  <c r="R2402" i="131"/>
  <c r="R884" i="131"/>
  <c r="T455" i="131"/>
  <c r="K455" i="131"/>
  <c r="M455" i="131" s="1"/>
  <c r="W455" i="131"/>
  <c r="H285" i="114"/>
  <c r="G448" i="131"/>
  <c r="M777" i="131"/>
  <c r="M646" i="131"/>
  <c r="M1034" i="131"/>
  <c r="J249" i="114"/>
  <c r="L249" i="114" s="1"/>
  <c r="L250" i="114"/>
  <c r="R2441" i="131"/>
  <c r="K172" i="114"/>
  <c r="M173" i="114"/>
  <c r="X452" i="131"/>
  <c r="L212" i="131"/>
  <c r="J211" i="131"/>
  <c r="I276" i="114"/>
  <c r="M452" i="131"/>
  <c r="L239" i="114"/>
  <c r="H238" i="114"/>
  <c r="L484" i="131"/>
  <c r="H475" i="131"/>
  <c r="H2448" i="131"/>
  <c r="D53" i="36" s="1"/>
  <c r="J262" i="114"/>
  <c r="L263" i="114"/>
  <c r="D208" i="1"/>
  <c r="G208" i="1" s="1"/>
  <c r="F236" i="1"/>
  <c r="I310" i="1"/>
  <c r="F314" i="1"/>
  <c r="M312" i="1"/>
  <c r="I312" i="1"/>
  <c r="AK248" i="1"/>
  <c r="N208" i="1"/>
  <c r="E131" i="121"/>
  <c r="D6" i="121"/>
  <c r="K2327" i="131"/>
  <c r="H119" i="114"/>
  <c r="W2327" i="131"/>
  <c r="G2326" i="131"/>
  <c r="G2283" i="131"/>
  <c r="K2284" i="131"/>
  <c r="H126" i="114"/>
  <c r="L127" i="114"/>
  <c r="T1985" i="131"/>
  <c r="W1985" i="131"/>
  <c r="K1985" i="131"/>
  <c r="W1710" i="131"/>
  <c r="T1710" i="131"/>
  <c r="K1710" i="131"/>
  <c r="G2413" i="131"/>
  <c r="C15" i="36" s="1"/>
  <c r="T1704" i="131"/>
  <c r="W1704" i="131"/>
  <c r="G2436" i="131"/>
  <c r="C40" i="36" s="1"/>
  <c r="L40" i="36" s="1"/>
  <c r="M1359" i="131"/>
  <c r="X1359" i="131"/>
  <c r="M1371" i="131"/>
  <c r="G2380" i="131"/>
  <c r="K1108" i="131"/>
  <c r="H856" i="131"/>
  <c r="L857" i="131"/>
  <c r="I401" i="114"/>
  <c r="G810" i="131"/>
  <c r="G805" i="131" s="1"/>
  <c r="M739" i="131"/>
  <c r="M728" i="131"/>
  <c r="X728" i="131"/>
  <c r="T720" i="131"/>
  <c r="W720" i="131"/>
  <c r="K720" i="131"/>
  <c r="M720" i="131" s="1"/>
  <c r="H82" i="114"/>
  <c r="H81" i="114" s="1"/>
  <c r="K590" i="131"/>
  <c r="M590" i="131" s="1"/>
  <c r="G568" i="131"/>
  <c r="M580" i="131"/>
  <c r="X580" i="131"/>
  <c r="M267" i="114"/>
  <c r="H358" i="131"/>
  <c r="M295" i="131"/>
  <c r="X295" i="131"/>
  <c r="T42" i="131"/>
  <c r="W42" i="131"/>
  <c r="K42" i="131"/>
  <c r="M42" i="131" s="1"/>
  <c r="D314" i="1"/>
  <c r="AK314" i="1" s="1"/>
  <c r="D88" i="1"/>
  <c r="AK88" i="1" s="1"/>
  <c r="E88" i="1"/>
  <c r="F89" i="1"/>
  <c r="F165" i="1"/>
  <c r="F162" i="1" s="1"/>
  <c r="N165" i="1"/>
  <c r="N162" i="1"/>
  <c r="M305" i="1"/>
  <c r="I305" i="1"/>
  <c r="I314" i="1"/>
  <c r="AK237" i="1"/>
  <c r="AK236" i="1"/>
  <c r="AK162" i="1"/>
  <c r="R2225" i="131"/>
  <c r="R2384" i="131"/>
  <c r="AK9" i="1"/>
  <c r="R2035" i="131"/>
  <c r="V2451" i="131"/>
  <c r="V2288" i="131"/>
  <c r="V2210" i="131" s="1"/>
  <c r="V2477" i="131" s="1"/>
  <c r="F58" i="36"/>
  <c r="X273" i="131"/>
  <c r="K2371" i="131"/>
  <c r="M273" i="131"/>
  <c r="C23" i="273"/>
  <c r="C24" i="273" s="1"/>
  <c r="D28" i="273"/>
  <c r="M3" i="273"/>
  <c r="V1769" i="131"/>
  <c r="V2404" i="131"/>
  <c r="J1718" i="131"/>
  <c r="L55" i="114"/>
  <c r="H2447" i="131"/>
  <c r="M983" i="131"/>
  <c r="S2411" i="131"/>
  <c r="S1670" i="131"/>
  <c r="S1669" i="131" s="1"/>
  <c r="S2475" i="131" s="1"/>
  <c r="U2386" i="131"/>
  <c r="S2426" i="131"/>
  <c r="M52" i="114"/>
  <c r="D4" i="273"/>
  <c r="U2423" i="131"/>
  <c r="U1812" i="131"/>
  <c r="D3" i="273"/>
  <c r="V1724" i="131"/>
  <c r="V1669" i="131" s="1"/>
  <c r="V2475" i="131" s="1"/>
  <c r="H58" i="36"/>
  <c r="R2446" i="131"/>
  <c r="R2449" i="131" s="1"/>
  <c r="U2404" i="131"/>
  <c r="U1535" i="131"/>
  <c r="C4" i="273"/>
  <c r="U2413" i="131"/>
  <c r="U1670" i="131"/>
  <c r="AK42" i="1"/>
  <c r="AJ18" i="1"/>
  <c r="AK278" i="1"/>
  <c r="U1724" i="131"/>
  <c r="N2460" i="131"/>
  <c r="N2461" i="131" s="1"/>
  <c r="N1724" i="131"/>
  <c r="N1669" i="131" s="1"/>
  <c r="N2434" i="131"/>
  <c r="N804" i="131"/>
  <c r="N803" i="131" s="1"/>
  <c r="N2473" i="131" s="1"/>
  <c r="I2211" i="131" l="1"/>
  <c r="K1151" i="131"/>
  <c r="X2176" i="131"/>
  <c r="X371" i="131"/>
  <c r="G2390" i="131"/>
  <c r="X1732" i="131"/>
  <c r="X631" i="131"/>
  <c r="W590" i="131"/>
  <c r="H2175" i="131"/>
  <c r="X1734" i="131"/>
  <c r="T590" i="131"/>
  <c r="X376" i="131"/>
  <c r="I568" i="131"/>
  <c r="I567" i="131" s="1"/>
  <c r="I566" i="131" s="1"/>
  <c r="I2440" i="131" s="1"/>
  <c r="E44" i="36" s="1"/>
  <c r="Y586" i="131"/>
  <c r="Z586" i="131" s="1"/>
  <c r="G747" i="131"/>
  <c r="G746" i="131" s="1"/>
  <c r="G745" i="131" s="1"/>
  <c r="X904" i="131"/>
  <c r="S567" i="131"/>
  <c r="S566" i="131" s="1"/>
  <c r="S2440" i="131" s="1"/>
  <c r="H2427" i="131"/>
  <c r="D31" i="36" s="1"/>
  <c r="X562" i="131"/>
  <c r="X1872" i="131"/>
  <c r="K1306" i="131"/>
  <c r="V1530" i="131"/>
  <c r="L207" i="114"/>
  <c r="L206" i="114" s="1"/>
  <c r="L2326" i="131"/>
  <c r="M1872" i="131"/>
  <c r="H1353" i="131"/>
  <c r="L1353" i="131" s="1"/>
  <c r="L1348" i="131" s="1"/>
  <c r="L2400" i="131" s="1"/>
  <c r="X762" i="131"/>
  <c r="D18" i="1"/>
  <c r="AK18" i="1" s="1"/>
  <c r="F88" i="1"/>
  <c r="F18" i="1" s="1"/>
  <c r="X2291" i="131"/>
  <c r="L885" i="131"/>
  <c r="G1719" i="131"/>
  <c r="S2427" i="131"/>
  <c r="S2430" i="131" s="1"/>
  <c r="M1854" i="131"/>
  <c r="L2071" i="131"/>
  <c r="L2397" i="131" s="1"/>
  <c r="T885" i="131"/>
  <c r="L1038" i="131"/>
  <c r="L1970" i="131"/>
  <c r="S2446" i="131"/>
  <c r="S2449" i="131" s="1"/>
  <c r="K2103" i="131"/>
  <c r="M307" i="114"/>
  <c r="L2248" i="131"/>
  <c r="K2138" i="131"/>
  <c r="M2138" i="131" s="1"/>
  <c r="X669" i="131"/>
  <c r="M2258" i="131"/>
  <c r="K2248" i="131"/>
  <c r="J2389" i="131"/>
  <c r="S1812" i="131"/>
  <c r="X1721" i="131"/>
  <c r="I2059" i="131"/>
  <c r="G2399" i="131"/>
  <c r="H197" i="114"/>
  <c r="X1450" i="131"/>
  <c r="K197" i="114"/>
  <c r="L147" i="114"/>
  <c r="J197" i="114"/>
  <c r="X1533" i="131"/>
  <c r="M112" i="114"/>
  <c r="L2138" i="131"/>
  <c r="J2059" i="131"/>
  <c r="L2137" i="131"/>
  <c r="L2431" i="131" s="1"/>
  <c r="M2142" i="131"/>
  <c r="X1858" i="131"/>
  <c r="M217" i="114"/>
  <c r="M216" i="114" s="1"/>
  <c r="M197" i="114" s="1"/>
  <c r="H15" i="36"/>
  <c r="X1340" i="131"/>
  <c r="G469" i="131"/>
  <c r="W469" i="131" s="1"/>
  <c r="L2455" i="131"/>
  <c r="L405" i="114"/>
  <c r="L404" i="114" s="1"/>
  <c r="X1971" i="131"/>
  <c r="H61" i="36"/>
  <c r="H59" i="36" s="1"/>
  <c r="M54" i="114"/>
  <c r="R2423" i="131"/>
  <c r="M349" i="114"/>
  <c r="M348" i="114" s="1"/>
  <c r="L294" i="114"/>
  <c r="L293" i="114" s="1"/>
  <c r="X848" i="131"/>
  <c r="G2059" i="131"/>
  <c r="L974" i="131"/>
  <c r="J2390" i="131"/>
  <c r="T1497" i="131"/>
  <c r="W1720" i="131"/>
  <c r="L304" i="114"/>
  <c r="L2105" i="131"/>
  <c r="M241" i="114"/>
  <c r="K1720" i="131"/>
  <c r="M1720" i="131" s="1"/>
  <c r="M310" i="114"/>
  <c r="M669" i="131"/>
  <c r="X1339" i="131"/>
  <c r="K2105" i="131"/>
  <c r="X1641" i="131"/>
  <c r="M399" i="131"/>
  <c r="J1522" i="131"/>
  <c r="J1521" i="131" s="1"/>
  <c r="L1171" i="131"/>
  <c r="H2390" i="131"/>
  <c r="X1733" i="131"/>
  <c r="H805" i="131"/>
  <c r="X1510" i="131"/>
  <c r="H1015" i="131"/>
  <c r="K885" i="131"/>
  <c r="M885" i="131" s="1"/>
  <c r="K1038" i="131"/>
  <c r="L1890" i="131"/>
  <c r="L2388" i="131" s="1"/>
  <c r="W1348" i="131"/>
  <c r="N2382" i="131"/>
  <c r="N2403" i="131" s="1"/>
  <c r="N2406" i="131" s="1"/>
  <c r="L2227" i="131"/>
  <c r="R567" i="131"/>
  <c r="R2382" i="131" s="1"/>
  <c r="R2403" i="131" s="1"/>
  <c r="R2406" i="131" s="1"/>
  <c r="W568" i="131"/>
  <c r="K162" i="114"/>
  <c r="M162" i="114" s="1"/>
  <c r="G2431" i="131"/>
  <c r="C35" i="36" s="1"/>
  <c r="C34" i="36" s="1"/>
  <c r="R2136" i="131"/>
  <c r="R1767" i="131" s="1"/>
  <c r="R2476" i="131" s="1"/>
  <c r="N566" i="131"/>
  <c r="N2440" i="131" s="1"/>
  <c r="N2442" i="131" s="1"/>
  <c r="L1912" i="131"/>
  <c r="M389" i="131"/>
  <c r="K1770" i="131"/>
  <c r="X389" i="131"/>
  <c r="W1769" i="131"/>
  <c r="J293" i="114"/>
  <c r="M150" i="114"/>
  <c r="W1509" i="131"/>
  <c r="K1508" i="131"/>
  <c r="M1508" i="131" s="1"/>
  <c r="T1509" i="131"/>
  <c r="K382" i="131"/>
  <c r="M382" i="131" s="1"/>
  <c r="C61" i="36"/>
  <c r="L61" i="36" s="1"/>
  <c r="X1618" i="131"/>
  <c r="I1507" i="131"/>
  <c r="W1507" i="131" s="1"/>
  <c r="L113" i="114"/>
  <c r="M1608" i="131"/>
  <c r="J1671" i="131"/>
  <c r="J1670" i="131" s="1"/>
  <c r="I11" i="114"/>
  <c r="O11" i="114" s="1"/>
  <c r="D61" i="36"/>
  <c r="D59" i="36" s="1"/>
  <c r="L112" i="114"/>
  <c r="I1288" i="131"/>
  <c r="I1232" i="131" s="1"/>
  <c r="X1608" i="131"/>
  <c r="X1502" i="131"/>
  <c r="L1433" i="131"/>
  <c r="I2443" i="131"/>
  <c r="E47" i="36" s="1"/>
  <c r="E46" i="36" s="1"/>
  <c r="X427" i="131"/>
  <c r="X514" i="131"/>
  <c r="W668" i="131"/>
  <c r="L1151" i="131"/>
  <c r="W1508" i="131"/>
  <c r="J24" i="114"/>
  <c r="J324" i="114"/>
  <c r="L324" i="114" s="1"/>
  <c r="K1509" i="131"/>
  <c r="M1509" i="131" s="1"/>
  <c r="X508" i="131"/>
  <c r="M508" i="131"/>
  <c r="G1424" i="131"/>
  <c r="G2426" i="131" s="1"/>
  <c r="C30" i="36" s="1"/>
  <c r="L30" i="36" s="1"/>
  <c r="T1425" i="131"/>
  <c r="V2439" i="131"/>
  <c r="M762" i="131"/>
  <c r="W1325" i="131"/>
  <c r="X552" i="131"/>
  <c r="K2409" i="131"/>
  <c r="G11" i="36" s="1"/>
  <c r="X1248" i="131"/>
  <c r="J109" i="114"/>
  <c r="M552" i="131"/>
  <c r="K668" i="131"/>
  <c r="M668" i="131" s="1"/>
  <c r="H273" i="114"/>
  <c r="L273" i="114" s="1"/>
  <c r="L76" i="114"/>
  <c r="L75" i="114" s="1"/>
  <c r="I83" i="114"/>
  <c r="K1017" i="131"/>
  <c r="M1017" i="131" s="1"/>
  <c r="X206" i="131"/>
  <c r="L399" i="114"/>
  <c r="L89" i="114"/>
  <c r="L88" i="114" s="1"/>
  <c r="R73" i="131"/>
  <c r="R72" i="131" s="1"/>
  <c r="R2469" i="131" s="1"/>
  <c r="R2479" i="131" s="1"/>
  <c r="M400" i="114"/>
  <c r="X443" i="131"/>
  <c r="X1031" i="131"/>
  <c r="I74" i="114"/>
  <c r="X807" i="131"/>
  <c r="U2382" i="131"/>
  <c r="U2403" i="131" s="1"/>
  <c r="U2406" i="131" s="1"/>
  <c r="L395" i="131"/>
  <c r="L306" i="114"/>
  <c r="M113" i="114"/>
  <c r="M31" i="114"/>
  <c r="K738" i="131"/>
  <c r="M738" i="131" s="1"/>
  <c r="M443" i="131"/>
  <c r="X1223" i="131"/>
  <c r="I1097" i="131"/>
  <c r="I2438" i="131" s="1"/>
  <c r="E42" i="36" s="1"/>
  <c r="X806" i="131"/>
  <c r="X1107" i="131"/>
  <c r="X1074" i="131"/>
  <c r="V364" i="131"/>
  <c r="V357" i="131" s="1"/>
  <c r="V283" i="131" s="1"/>
  <c r="L951" i="131"/>
  <c r="M806" i="131"/>
  <c r="J74" i="114"/>
  <c r="M466" i="131"/>
  <c r="X748" i="131"/>
  <c r="H2379" i="131"/>
  <c r="N364" i="131"/>
  <c r="N357" i="131" s="1"/>
  <c r="N283" i="131" s="1"/>
  <c r="N2470" i="131" s="1"/>
  <c r="N2479" i="131" s="1"/>
  <c r="L31" i="114"/>
  <c r="X491" i="131"/>
  <c r="X740" i="131"/>
  <c r="L177" i="114"/>
  <c r="K471" i="131"/>
  <c r="M471" i="131" s="1"/>
  <c r="T470" i="131"/>
  <c r="L1585" i="131"/>
  <c r="H1584" i="131"/>
  <c r="S2382" i="131"/>
  <c r="S2403" i="131" s="1"/>
  <c r="I1907" i="131"/>
  <c r="I2398" i="131" s="1"/>
  <c r="X2213" i="131"/>
  <c r="V2374" i="131"/>
  <c r="L1607" i="131"/>
  <c r="K470" i="131"/>
  <c r="X470" i="131" s="1"/>
  <c r="X472" i="131"/>
  <c r="K370" i="131"/>
  <c r="M370" i="131" s="1"/>
  <c r="L1673" i="131"/>
  <c r="W2227" i="131"/>
  <c r="S364" i="131"/>
  <c r="X402" i="131"/>
  <c r="K1497" i="131"/>
  <c r="M1497" i="131" s="1"/>
  <c r="J383" i="114"/>
  <c r="J380" i="114" s="1"/>
  <c r="P380" i="114" s="1"/>
  <c r="H380" i="114"/>
  <c r="N380" i="114" s="1"/>
  <c r="X399" i="131"/>
  <c r="W738" i="131"/>
  <c r="G175" i="131"/>
  <c r="K175" i="131" s="1"/>
  <c r="K651" i="131"/>
  <c r="G2379" i="131"/>
  <c r="J2379" i="131"/>
  <c r="M748" i="131"/>
  <c r="X636" i="131"/>
  <c r="Y581" i="131"/>
  <c r="Z581" i="131" s="1"/>
  <c r="R2460" i="131"/>
  <c r="R2461" i="131" s="1"/>
  <c r="W501" i="131"/>
  <c r="I2379" i="131"/>
  <c r="J535" i="131"/>
  <c r="J534" i="131" s="1"/>
  <c r="X696" i="131"/>
  <c r="G381" i="131"/>
  <c r="G364" i="131" s="1"/>
  <c r="R283" i="131"/>
  <c r="R2470" i="131" s="1"/>
  <c r="L96" i="114"/>
  <c r="L95" i="114" s="1"/>
  <c r="X227" i="131"/>
  <c r="U2439" i="131"/>
  <c r="X511" i="131"/>
  <c r="W811" i="131"/>
  <c r="M294" i="114"/>
  <c r="M293" i="114" s="1"/>
  <c r="I256" i="114"/>
  <c r="M256" i="114" s="1"/>
  <c r="J237" i="114"/>
  <c r="Y587" i="131"/>
  <c r="Z587" i="131" s="1"/>
  <c r="M511" i="131"/>
  <c r="T426" i="131"/>
  <c r="X14" i="131"/>
  <c r="H566" i="131"/>
  <c r="H2440" i="131" s="1"/>
  <c r="H2442" i="131" s="1"/>
  <c r="J175" i="131"/>
  <c r="L175" i="131" s="1"/>
  <c r="M101" i="114"/>
  <c r="M100" i="114" s="1"/>
  <c r="M99" i="114" s="1"/>
  <c r="L309" i="114"/>
  <c r="L651" i="131"/>
  <c r="X695" i="131"/>
  <c r="L280" i="114"/>
  <c r="M196" i="114"/>
  <c r="L241" i="114"/>
  <c r="X318" i="131"/>
  <c r="I74" i="131"/>
  <c r="I2420" i="131" s="1"/>
  <c r="E24" i="36" s="1"/>
  <c r="L448" i="131"/>
  <c r="L382" i="114"/>
  <c r="M402" i="131"/>
  <c r="M195" i="114"/>
  <c r="U2414" i="131"/>
  <c r="U2415" i="131" s="1"/>
  <c r="I285" i="131"/>
  <c r="X569" i="131"/>
  <c r="W382" i="131"/>
  <c r="X329" i="131"/>
  <c r="S2420" i="131"/>
  <c r="S2425" i="131" s="1"/>
  <c r="L112" i="131"/>
  <c r="X228" i="131"/>
  <c r="X288" i="131"/>
  <c r="M109" i="131"/>
  <c r="M270" i="114"/>
  <c r="J74" i="131"/>
  <c r="J2420" i="131" s="1"/>
  <c r="H397" i="114"/>
  <c r="H390" i="114" s="1"/>
  <c r="L115" i="114"/>
  <c r="J11" i="114"/>
  <c r="P11" i="114" s="1"/>
  <c r="T11" i="114" s="1"/>
  <c r="L396" i="114"/>
  <c r="L395" i="114" s="1"/>
  <c r="L299" i="114"/>
  <c r="J2385" i="131"/>
  <c r="M328" i="114"/>
  <c r="J33" i="114"/>
  <c r="M379" i="114"/>
  <c r="O376" i="114"/>
  <c r="S376" i="114" s="1"/>
  <c r="K302" i="114"/>
  <c r="K13" i="131"/>
  <c r="M13" i="131" s="1"/>
  <c r="I194" i="114"/>
  <c r="M194" i="114" s="1"/>
  <c r="K328" i="114"/>
  <c r="L179" i="114"/>
  <c r="L266" i="114"/>
  <c r="L259" i="114"/>
  <c r="H327" i="114"/>
  <c r="I24" i="114"/>
  <c r="M314" i="114"/>
  <c r="L389" i="114"/>
  <c r="I327" i="114"/>
  <c r="L178" i="114"/>
  <c r="M316" i="114"/>
  <c r="M315" i="114"/>
  <c r="H74" i="114"/>
  <c r="X43" i="131"/>
  <c r="AK208" i="1"/>
  <c r="F208" i="1"/>
  <c r="D8" i="1"/>
  <c r="D7" i="1" s="1"/>
  <c r="U565" i="131"/>
  <c r="U526" i="131" s="1"/>
  <c r="U2472" i="131" s="1"/>
  <c r="U2440" i="131"/>
  <c r="U2442" i="131" s="1"/>
  <c r="J251" i="114"/>
  <c r="L251" i="114" s="1"/>
  <c r="S2374" i="131"/>
  <c r="H1617" i="131"/>
  <c r="H1616" i="131" s="1"/>
  <c r="X216" i="131"/>
  <c r="M216" i="131"/>
  <c r="T501" i="131"/>
  <c r="J83" i="114"/>
  <c r="J1464" i="131"/>
  <c r="J1463" i="131" s="1"/>
  <c r="J1423" i="131" s="1"/>
  <c r="T1769" i="131"/>
  <c r="X1247" i="131"/>
  <c r="W1073" i="131"/>
  <c r="X1073" i="131" s="1"/>
  <c r="T1073" i="131"/>
  <c r="M696" i="131"/>
  <c r="G2408" i="131"/>
  <c r="C10" i="36" s="1"/>
  <c r="L10" i="36" s="1"/>
  <c r="G12" i="131"/>
  <c r="T12" i="131" s="1"/>
  <c r="G2369" i="131"/>
  <c r="T13" i="131"/>
  <c r="G61" i="36"/>
  <c r="G59" i="36" s="1"/>
  <c r="S2479" i="131"/>
  <c r="M34" i="114"/>
  <c r="M1732" i="131"/>
  <c r="V2382" i="131"/>
  <c r="V2403" i="131" s="1"/>
  <c r="K1507" i="131"/>
  <c r="M1507" i="131" s="1"/>
  <c r="J284" i="114"/>
  <c r="K24" i="114"/>
  <c r="K2290" i="131"/>
  <c r="M2290" i="131" s="1"/>
  <c r="M396" i="114"/>
  <c r="M395" i="114" s="1"/>
  <c r="T1412" i="131"/>
  <c r="K1412" i="131"/>
  <c r="I1411" i="131"/>
  <c r="W1412" i="131"/>
  <c r="L303" i="114"/>
  <c r="M51" i="114"/>
  <c r="X978" i="131"/>
  <c r="X477" i="131"/>
  <c r="L426" i="131"/>
  <c r="J1288" i="131"/>
  <c r="J1232" i="131" s="1"/>
  <c r="J470" i="131"/>
  <c r="L471" i="131"/>
  <c r="M394" i="114"/>
  <c r="M393" i="114" s="1"/>
  <c r="S2439" i="131"/>
  <c r="X235" i="131"/>
  <c r="M1413" i="131"/>
  <c r="X1413" i="131"/>
  <c r="M413" i="131"/>
  <c r="X413" i="131"/>
  <c r="H284" i="114"/>
  <c r="H279" i="114" s="1"/>
  <c r="G1015" i="131"/>
  <c r="G2435" i="131" s="1"/>
  <c r="J2378" i="131"/>
  <c r="Q11" i="114" s="1"/>
  <c r="W370" i="131"/>
  <c r="L114" i="114"/>
  <c r="H2035" i="131"/>
  <c r="M141" i="114"/>
  <c r="S2442" i="131"/>
  <c r="X1018" i="131"/>
  <c r="T1325" i="131"/>
  <c r="L158" i="114"/>
  <c r="K225" i="131"/>
  <c r="M225" i="131" s="1"/>
  <c r="L2448" i="131"/>
  <c r="V804" i="131"/>
  <c r="V803" i="131" s="1"/>
  <c r="V2473" i="131" s="1"/>
  <c r="K1769" i="131"/>
  <c r="M1769" i="131" s="1"/>
  <c r="L1289" i="131"/>
  <c r="L2378" i="131" s="1"/>
  <c r="S1423" i="131"/>
  <c r="T370" i="131"/>
  <c r="G690" i="131"/>
  <c r="T1607" i="131"/>
  <c r="X1774" i="131"/>
  <c r="J2289" i="131"/>
  <c r="L2289" i="131" s="1"/>
  <c r="R2450" i="131"/>
  <c r="R2453" i="131" s="1"/>
  <c r="K2227" i="131"/>
  <c r="M2227" i="131" s="1"/>
  <c r="G1768" i="131"/>
  <c r="S2435" i="131"/>
  <c r="V2460" i="131"/>
  <c r="V2461" i="131" s="1"/>
  <c r="W426" i="131"/>
  <c r="L78" i="114"/>
  <c r="L77" i="114" s="1"/>
  <c r="T776" i="131"/>
  <c r="H12" i="131"/>
  <c r="L12" i="131" s="1"/>
  <c r="J151" i="114"/>
  <c r="W234" i="131"/>
  <c r="R1097" i="131"/>
  <c r="R2438" i="131" s="1"/>
  <c r="N2414" i="131"/>
  <c r="N2415" i="131" s="1"/>
  <c r="T1970" i="131"/>
  <c r="X1609" i="131"/>
  <c r="M185" i="114"/>
  <c r="K184" i="114"/>
  <c r="M184" i="114" s="1"/>
  <c r="S1767" i="131"/>
  <c r="S2476" i="131" s="1"/>
  <c r="M569" i="131"/>
  <c r="W1617" i="131"/>
  <c r="W776" i="131"/>
  <c r="X776" i="131" s="1"/>
  <c r="J180" i="131"/>
  <c r="L180" i="131" s="1"/>
  <c r="J397" i="114"/>
  <c r="J390" i="114" s="1"/>
  <c r="H2369" i="131"/>
  <c r="H884" i="131"/>
  <c r="K234" i="131"/>
  <c r="M88" i="114"/>
  <c r="M119" i="114"/>
  <c r="L159" i="114"/>
  <c r="T234" i="131"/>
  <c r="J1221" i="131"/>
  <c r="L1222" i="131"/>
  <c r="J381" i="131"/>
  <c r="L189" i="114"/>
  <c r="H188" i="114"/>
  <c r="L188" i="114" s="1"/>
  <c r="M1429" i="131"/>
  <c r="X1429" i="131"/>
  <c r="K1970" i="131"/>
  <c r="W1970" i="131"/>
  <c r="K254" i="114"/>
  <c r="M255" i="114"/>
  <c r="W2137" i="131"/>
  <c r="H157" i="114"/>
  <c r="L157" i="114" s="1"/>
  <c r="L2180" i="131"/>
  <c r="K284" i="114"/>
  <c r="K1289" i="131"/>
  <c r="K2378" i="131" s="1"/>
  <c r="H12" i="36"/>
  <c r="I2266" i="131"/>
  <c r="W2267" i="131"/>
  <c r="K2267" i="131"/>
  <c r="K1966" i="131"/>
  <c r="K1912" i="131" s="1"/>
  <c r="G1907" i="131"/>
  <c r="G1889" i="131" s="1"/>
  <c r="G2423" i="131" s="1"/>
  <c r="C27" i="36" s="1"/>
  <c r="L27" i="36" s="1"/>
  <c r="K318" i="114"/>
  <c r="M318" i="114" s="1"/>
  <c r="M319" i="114"/>
  <c r="I384" i="114"/>
  <c r="H1348" i="131"/>
  <c r="H2400" i="131" s="1"/>
  <c r="G2437" i="131"/>
  <c r="C41" i="36" s="1"/>
  <c r="L41" i="36" s="1"/>
  <c r="S1097" i="131"/>
  <c r="S2438" i="131" s="1"/>
  <c r="K131" i="114"/>
  <c r="M131" i="114" s="1"/>
  <c r="M132" i="114"/>
  <c r="H149" i="114"/>
  <c r="L150" i="114"/>
  <c r="M1634" i="131"/>
  <c r="X1634" i="131"/>
  <c r="M347" i="114"/>
  <c r="M346" i="114" s="1"/>
  <c r="M344" i="114"/>
  <c r="X319" i="131"/>
  <c r="M979" i="131"/>
  <c r="L349" i="114"/>
  <c r="L348" i="114" s="1"/>
  <c r="L357" i="114"/>
  <c r="L356" i="114" s="1"/>
  <c r="G1522" i="131"/>
  <c r="W1523" i="131"/>
  <c r="K1523" i="131"/>
  <c r="T1523" i="131"/>
  <c r="G2389" i="131"/>
  <c r="M1524" i="131"/>
  <c r="X1524" i="131"/>
  <c r="M863" i="131"/>
  <c r="X863" i="131"/>
  <c r="R2374" i="131"/>
  <c r="F61" i="36"/>
  <c r="F59" i="36" s="1"/>
  <c r="J2455" i="131"/>
  <c r="I1016" i="131"/>
  <c r="I1015" i="131" s="1"/>
  <c r="T1017" i="131"/>
  <c r="I1483" i="131"/>
  <c r="K1483" i="131" s="1"/>
  <c r="K1484" i="131"/>
  <c r="X2089" i="131"/>
  <c r="T395" i="131"/>
  <c r="M1349" i="131"/>
  <c r="M121" i="114"/>
  <c r="X517" i="131"/>
  <c r="X1516" i="131"/>
  <c r="J302" i="114"/>
  <c r="W1017" i="131"/>
  <c r="I397" i="114"/>
  <c r="I390" i="114" s="1"/>
  <c r="K201" i="131"/>
  <c r="K185" i="131"/>
  <c r="M185" i="131" s="1"/>
  <c r="R2435" i="131"/>
  <c r="I2395" i="131"/>
  <c r="K501" i="131"/>
  <c r="M501" i="131" s="1"/>
  <c r="J2402" i="131"/>
  <c r="L398" i="114"/>
  <c r="H311" i="114"/>
  <c r="N311" i="114" s="1"/>
  <c r="I224" i="131"/>
  <c r="I2471" i="131" s="1"/>
  <c r="V73" i="131"/>
  <c r="V72" i="131" s="1"/>
  <c r="V2469" i="131" s="1"/>
  <c r="V2479" i="131" s="1"/>
  <c r="K343" i="114"/>
  <c r="H83" i="114"/>
  <c r="H102" i="114"/>
  <c r="N102" i="114" s="1"/>
  <c r="L2432" i="131"/>
  <c r="H35" i="36"/>
  <c r="H34" i="36" s="1"/>
  <c r="W395" i="131"/>
  <c r="X383" i="131"/>
  <c r="T225" i="131"/>
  <c r="K110" i="114"/>
  <c r="M111" i="114"/>
  <c r="M2195" i="131"/>
  <c r="X2195" i="131"/>
  <c r="H1719" i="131"/>
  <c r="L1720" i="131"/>
  <c r="J131" i="114"/>
  <c r="L132" i="114"/>
  <c r="H129" i="114"/>
  <c r="L130" i="114"/>
  <c r="I2037" i="131"/>
  <c r="K2038" i="131"/>
  <c r="M2038" i="131" s="1"/>
  <c r="T1175" i="131"/>
  <c r="J2431" i="131"/>
  <c r="I381" i="131"/>
  <c r="M2297" i="131"/>
  <c r="M2279" i="131"/>
  <c r="X2279" i="131"/>
  <c r="G2410" i="131"/>
  <c r="C12" i="36" s="1"/>
  <c r="W1278" i="131"/>
  <c r="T1278" i="131"/>
  <c r="K1278" i="131"/>
  <c r="M1278" i="131" s="1"/>
  <c r="X2228" i="131"/>
  <c r="M2228" i="131"/>
  <c r="J365" i="131"/>
  <c r="J2383" i="131" s="1"/>
  <c r="K107" i="114"/>
  <c r="K105" i="114" s="1"/>
  <c r="K102" i="114" s="1"/>
  <c r="M147" i="114"/>
  <c r="K146" i="114"/>
  <c r="K322" i="114"/>
  <c r="M323" i="114"/>
  <c r="S2414" i="131"/>
  <c r="S2415" i="131" s="1"/>
  <c r="J2136" i="131"/>
  <c r="L310" i="114"/>
  <c r="K2104" i="131"/>
  <c r="U364" i="131"/>
  <c r="U357" i="131" s="1"/>
  <c r="U283" i="131" s="1"/>
  <c r="U2470" i="131" s="1"/>
  <c r="M351" i="114"/>
  <c r="M350" i="114" s="1"/>
  <c r="X1279" i="131"/>
  <c r="M1279" i="131"/>
  <c r="K142" i="114"/>
  <c r="M142" i="114" s="1"/>
  <c r="M143" i="114"/>
  <c r="X2039" i="131"/>
  <c r="M2039" i="131"/>
  <c r="L978" i="131"/>
  <c r="M1104" i="131"/>
  <c r="X1342" i="131"/>
  <c r="V565" i="131"/>
  <c r="V526" i="131" s="1"/>
  <c r="V2472" i="131" s="1"/>
  <c r="K129" i="114"/>
  <c r="M129" i="114" s="1"/>
  <c r="M130" i="114"/>
  <c r="I56" i="114"/>
  <c r="M57" i="114"/>
  <c r="M1186" i="131"/>
  <c r="L300" i="114"/>
  <c r="X1186" i="131"/>
  <c r="M2231" i="131"/>
  <c r="L205" i="114"/>
  <c r="L204" i="114" s="1"/>
  <c r="L334" i="114"/>
  <c r="L333" i="114" s="1"/>
  <c r="L328" i="114" s="1"/>
  <c r="I758" i="131"/>
  <c r="K768" i="131"/>
  <c r="M768" i="131" s="1"/>
  <c r="L351" i="114"/>
  <c r="L350" i="114" s="1"/>
  <c r="L1739" i="131"/>
  <c r="H1738" i="131"/>
  <c r="J378" i="114"/>
  <c r="L379" i="114"/>
  <c r="J140" i="114"/>
  <c r="L140" i="114" s="1"/>
  <c r="L141" i="114"/>
  <c r="L92" i="114"/>
  <c r="L91" i="114" s="1"/>
  <c r="X765" i="131"/>
  <c r="M281" i="114"/>
  <c r="L36" i="114"/>
  <c r="H33" i="114"/>
  <c r="J2211" i="131"/>
  <c r="L2211" i="131" s="1"/>
  <c r="L2212" i="131"/>
  <c r="M20" i="114"/>
  <c r="M19" i="114" s="1"/>
  <c r="M11" i="114" s="1"/>
  <c r="H2225" i="131"/>
  <c r="H2224" i="131" s="1"/>
  <c r="V2453" i="131"/>
  <c r="K395" i="131"/>
  <c r="M395" i="131" s="1"/>
  <c r="X1563" i="131"/>
  <c r="M398" i="114"/>
  <c r="W1175" i="131"/>
  <c r="X1175" i="131" s="1"/>
  <c r="L51" i="114"/>
  <c r="K33" i="114"/>
  <c r="J1102" i="131"/>
  <c r="J1097" i="131" s="1"/>
  <c r="J2438" i="131" s="1"/>
  <c r="F42" i="36" s="1"/>
  <c r="V1582" i="131"/>
  <c r="V1231" i="131" s="1"/>
  <c r="V2474" i="131" s="1"/>
  <c r="L811" i="131"/>
  <c r="M765" i="131"/>
  <c r="G611" i="131"/>
  <c r="G567" i="131" s="1"/>
  <c r="K567" i="131" s="1"/>
  <c r="M567" i="131" s="1"/>
  <c r="H1490" i="131"/>
  <c r="L1490" i="131" s="1"/>
  <c r="L1491" i="131"/>
  <c r="K1348" i="131"/>
  <c r="R2396" i="131"/>
  <c r="R1463" i="131"/>
  <c r="K75" i="131"/>
  <c r="M75" i="131" s="1"/>
  <c r="L37" i="114"/>
  <c r="H11" i="114"/>
  <c r="N11" i="114" s="1"/>
  <c r="G2289" i="131"/>
  <c r="X1891" i="131"/>
  <c r="M1891" i="131"/>
  <c r="U2460" i="131"/>
  <c r="U2461" i="131" s="1"/>
  <c r="K1607" i="131"/>
  <c r="M1607" i="131" s="1"/>
  <c r="I2459" i="131"/>
  <c r="E67" i="36" s="1"/>
  <c r="G67" i="36" s="1"/>
  <c r="W225" i="131"/>
  <c r="L154" i="114"/>
  <c r="G2402" i="131"/>
  <c r="X410" i="131"/>
  <c r="W226" i="131"/>
  <c r="J2427" i="131"/>
  <c r="F31" i="36" s="1"/>
  <c r="T226" i="131"/>
  <c r="L2290" i="131"/>
  <c r="K951" i="131"/>
  <c r="H2393" i="131"/>
  <c r="O197" i="114" s="1"/>
  <c r="V2430" i="131"/>
  <c r="R2394" i="131"/>
  <c r="K397" i="114"/>
  <c r="K390" i="114" s="1"/>
  <c r="M410" i="131"/>
  <c r="K2312" i="131"/>
  <c r="X1648" i="131"/>
  <c r="X315" i="131"/>
  <c r="I265" i="114"/>
  <c r="M266" i="114"/>
  <c r="H2136" i="131"/>
  <c r="L2136" i="131" s="1"/>
  <c r="H2431" i="131"/>
  <c r="K1325" i="131"/>
  <c r="V2035" i="131"/>
  <c r="H1411" i="131"/>
  <c r="L1412" i="131"/>
  <c r="W536" i="131"/>
  <c r="T536" i="131"/>
  <c r="T535" i="131" s="1"/>
  <c r="U2435" i="131"/>
  <c r="U804" i="131"/>
  <c r="U803" i="131" s="1"/>
  <c r="U2473" i="131" s="1"/>
  <c r="X505" i="131"/>
  <c r="W959" i="131"/>
  <c r="K959" i="131"/>
  <c r="J2103" i="131"/>
  <c r="L2104" i="131"/>
  <c r="L1537" i="131"/>
  <c r="J1536" i="131"/>
  <c r="L1536" i="131" s="1"/>
  <c r="T811" i="131"/>
  <c r="T1731" i="131"/>
  <c r="M105" i="131"/>
  <c r="X105" i="131"/>
  <c r="L268" i="114"/>
  <c r="M1619" i="131"/>
  <c r="X1619" i="131"/>
  <c r="L28" i="114"/>
  <c r="L847" i="131"/>
  <c r="J810" i="131"/>
  <c r="H175" i="114"/>
  <c r="L176" i="114"/>
  <c r="X960" i="131"/>
  <c r="T496" i="131"/>
  <c r="W496" i="131"/>
  <c r="K496" i="131"/>
  <c r="M496" i="131" s="1"/>
  <c r="R2424" i="131"/>
  <c r="I251" i="114"/>
  <c r="M251" i="114" s="1"/>
  <c r="M252" i="114"/>
  <c r="I1064" i="131"/>
  <c r="W1065" i="131"/>
  <c r="T1065" i="131"/>
  <c r="K1065" i="131"/>
  <c r="X1532" i="131"/>
  <c r="M1532" i="131"/>
  <c r="L15" i="114"/>
  <c r="L14" i="114" s="1"/>
  <c r="L182" i="114"/>
  <c r="G1288" i="131"/>
  <c r="G1232" i="131" s="1"/>
  <c r="W2290" i="131"/>
  <c r="H381" i="131"/>
  <c r="S1232" i="131"/>
  <c r="L1483" i="131"/>
  <c r="G1463" i="131"/>
  <c r="S565" i="131"/>
  <c r="I29" i="114"/>
  <c r="X1196" i="131"/>
  <c r="M104" i="114"/>
  <c r="M103" i="114" s="1"/>
  <c r="M1066" i="131"/>
  <c r="X1066" i="131"/>
  <c r="X432" i="131"/>
  <c r="I1724" i="131"/>
  <c r="K1515" i="131"/>
  <c r="T1515" i="131"/>
  <c r="W1515" i="131"/>
  <c r="G1482" i="131"/>
  <c r="K135" i="114"/>
  <c r="M136" i="114"/>
  <c r="M886" i="131"/>
  <c r="X886" i="131"/>
  <c r="L104" i="114"/>
  <c r="L103" i="114" s="1"/>
  <c r="M1293" i="131"/>
  <c r="K974" i="131"/>
  <c r="I2289" i="131"/>
  <c r="W2289" i="131" s="1"/>
  <c r="M990" i="131"/>
  <c r="X990" i="131"/>
  <c r="W185" i="131"/>
  <c r="G74" i="131"/>
  <c r="G2420" i="131" s="1"/>
  <c r="C24" i="36" s="1"/>
  <c r="L24" i="36" s="1"/>
  <c r="K1731" i="131"/>
  <c r="X1731" i="131" s="1"/>
  <c r="L392" i="114"/>
  <c r="L391" i="114" s="1"/>
  <c r="J2384" i="131"/>
  <c r="L1484" i="131"/>
  <c r="K104" i="131"/>
  <c r="M104" i="131" s="1"/>
  <c r="W104" i="131"/>
  <c r="M303" i="114"/>
  <c r="I489" i="131"/>
  <c r="I488" i="131" s="1"/>
  <c r="K490" i="131"/>
  <c r="M490" i="131" s="1"/>
  <c r="T490" i="131"/>
  <c r="W490" i="131"/>
  <c r="M1299" i="131"/>
  <c r="L20" i="114"/>
  <c r="L19" i="114" s="1"/>
  <c r="H1463" i="131"/>
  <c r="H1423" i="131" s="1"/>
  <c r="H2396" i="131"/>
  <c r="M1648" i="131"/>
  <c r="G2445" i="131"/>
  <c r="C49" i="36" s="1"/>
  <c r="L49" i="36" s="1"/>
  <c r="W1531" i="131"/>
  <c r="K1531" i="131"/>
  <c r="T1531" i="131"/>
  <c r="H1074" i="131"/>
  <c r="L1075" i="131"/>
  <c r="M960" i="131"/>
  <c r="M497" i="131"/>
  <c r="X497" i="131"/>
  <c r="H38" i="114"/>
  <c r="L38" i="114" s="1"/>
  <c r="X1628" i="131"/>
  <c r="X791" i="131"/>
  <c r="M791" i="131"/>
  <c r="K2226" i="131"/>
  <c r="W2226" i="131"/>
  <c r="H256" i="114"/>
  <c r="L256" i="114" s="1"/>
  <c r="L257" i="114"/>
  <c r="T1617" i="131"/>
  <c r="X1864" i="131"/>
  <c r="J690" i="131"/>
  <c r="L690" i="131" s="1"/>
  <c r="L695" i="131"/>
  <c r="K1102" i="131"/>
  <c r="M1102" i="131" s="1"/>
  <c r="G1097" i="131"/>
  <c r="W1102" i="131"/>
  <c r="T1102" i="131"/>
  <c r="M2089" i="131"/>
  <c r="L64" i="114"/>
  <c r="L63" i="114" s="1"/>
  <c r="X83" i="131"/>
  <c r="G2360" i="131"/>
  <c r="K2361" i="131"/>
  <c r="M2361" i="131" s="1"/>
  <c r="W279" i="131"/>
  <c r="G278" i="131"/>
  <c r="T278" i="131" s="1"/>
  <c r="G2417" i="131"/>
  <c r="K279" i="131"/>
  <c r="T279" i="131"/>
  <c r="H2412" i="131"/>
  <c r="L1282" i="131"/>
  <c r="L2412" i="131" s="1"/>
  <c r="K65" i="131"/>
  <c r="T65" i="131"/>
  <c r="W65" i="131"/>
  <c r="J748" i="131"/>
  <c r="L754" i="131"/>
  <c r="H52" i="114"/>
  <c r="L53" i="114"/>
  <c r="K536" i="131"/>
  <c r="L85" i="114"/>
  <c r="L84" i="114" s="1"/>
  <c r="I2418" i="131"/>
  <c r="E19" i="36"/>
  <c r="E17" i="36" s="1"/>
  <c r="X280" i="131"/>
  <c r="M280" i="131"/>
  <c r="X205" i="131"/>
  <c r="K212" i="131"/>
  <c r="G211" i="131"/>
  <c r="W212" i="131"/>
  <c r="M219" i="131"/>
  <c r="X219" i="131"/>
  <c r="G286" i="131"/>
  <c r="T287" i="131"/>
  <c r="W287" i="131"/>
  <c r="K287" i="131"/>
  <c r="M1728" i="131"/>
  <c r="X1728" i="131"/>
  <c r="L716" i="131"/>
  <c r="M1629" i="131"/>
  <c r="N58" i="114"/>
  <c r="K484" i="131"/>
  <c r="G2448" i="131"/>
  <c r="C53" i="36" s="1"/>
  <c r="L53" i="36" s="1"/>
  <c r="T1739" i="131"/>
  <c r="W1739" i="131"/>
  <c r="K1739" i="131"/>
  <c r="G1738" i="131"/>
  <c r="X1596" i="131"/>
  <c r="I158" i="114"/>
  <c r="M159" i="114"/>
  <c r="I181" i="114"/>
  <c r="I180" i="114" s="1"/>
  <c r="M182" i="114"/>
  <c r="H277" i="114"/>
  <c r="L278" i="114"/>
  <c r="M66" i="131"/>
  <c r="X66" i="131"/>
  <c r="G1726" i="131"/>
  <c r="K1727" i="131"/>
  <c r="W1727" i="131"/>
  <c r="T1727" i="131"/>
  <c r="R2411" i="131"/>
  <c r="R1670" i="131"/>
  <c r="R1669" i="131" s="1"/>
  <c r="R2475" i="131" s="1"/>
  <c r="T1103" i="131"/>
  <c r="W1103" i="131"/>
  <c r="K1103" i="131"/>
  <c r="M83" i="131"/>
  <c r="M165" i="114"/>
  <c r="K164" i="114"/>
  <c r="M164" i="114" s="1"/>
  <c r="M300" i="114"/>
  <c r="M2168" i="131"/>
  <c r="X2168" i="131"/>
  <c r="G488" i="131"/>
  <c r="S1582" i="131"/>
  <c r="S2450" i="131"/>
  <c r="S2453" i="131" s="1"/>
  <c r="H1097" i="131"/>
  <c r="H2438" i="131" s="1"/>
  <c r="D42" i="36" s="1"/>
  <c r="M2025" i="131"/>
  <c r="X2025" i="131"/>
  <c r="X1585" i="131"/>
  <c r="J58" i="114"/>
  <c r="U2288" i="131"/>
  <c r="U2210" i="131" s="1"/>
  <c r="U2477" i="131" s="1"/>
  <c r="W2024" i="131"/>
  <c r="K2024" i="131"/>
  <c r="M2024" i="131" s="1"/>
  <c r="T2024" i="131"/>
  <c r="K380" i="114"/>
  <c r="Q380" i="114" s="1"/>
  <c r="M1283" i="131"/>
  <c r="X1283" i="131"/>
  <c r="M1538" i="131"/>
  <c r="X1538" i="131"/>
  <c r="K377" i="114"/>
  <c r="M378" i="114"/>
  <c r="I2385" i="131"/>
  <c r="W75" i="131"/>
  <c r="K48" i="114"/>
  <c r="Q48" i="114" s="1"/>
  <c r="H738" i="131"/>
  <c r="L738" i="131" s="1"/>
  <c r="L739" i="131"/>
  <c r="L164" i="114"/>
  <c r="X1637" i="131"/>
  <c r="K83" i="114"/>
  <c r="X435" i="131"/>
  <c r="L1107" i="131"/>
  <c r="X1871" i="131"/>
  <c r="M1871" i="131"/>
  <c r="H2266" i="131"/>
  <c r="L2267" i="131"/>
  <c r="K29" i="114"/>
  <c r="J475" i="131"/>
  <c r="L475" i="131" s="1"/>
  <c r="L476" i="131"/>
  <c r="X2163" i="131"/>
  <c r="I2448" i="131"/>
  <c r="E53" i="36" s="1"/>
  <c r="T1562" i="131"/>
  <c r="K1562" i="131"/>
  <c r="I1530" i="131"/>
  <c r="W1562" i="131"/>
  <c r="G2432" i="131"/>
  <c r="X1234" i="131"/>
  <c r="J2399" i="131"/>
  <c r="L2037" i="131"/>
  <c r="L2399" i="131" s="1"/>
  <c r="J2036" i="131"/>
  <c r="K277" i="114"/>
  <c r="M278" i="114"/>
  <c r="I302" i="114"/>
  <c r="I279" i="114" s="1"/>
  <c r="I2412" i="131"/>
  <c r="E14" i="36" s="1"/>
  <c r="K1282" i="131"/>
  <c r="T1282" i="131"/>
  <c r="W1282" i="131"/>
  <c r="K1870" i="131"/>
  <c r="K2404" i="131" s="1"/>
  <c r="W1870" i="131"/>
  <c r="L490" i="131"/>
  <c r="M238" i="131"/>
  <c r="X238" i="131"/>
  <c r="I167" i="114"/>
  <c r="M168" i="114"/>
  <c r="W1233" i="131"/>
  <c r="I2407" i="131"/>
  <c r="E9" i="36" s="1"/>
  <c r="T1233" i="131"/>
  <c r="K1233" i="131"/>
  <c r="L201" i="114"/>
  <c r="L200" i="114" s="1"/>
  <c r="M299" i="114"/>
  <c r="J496" i="131"/>
  <c r="J489" i="131" s="1"/>
  <c r="J488" i="131" s="1"/>
  <c r="L497" i="131"/>
  <c r="M79" i="131"/>
  <c r="X79" i="131"/>
  <c r="L62" i="114"/>
  <c r="L61" i="114" s="1"/>
  <c r="H1732" i="131"/>
  <c r="L1733" i="131"/>
  <c r="M285" i="114"/>
  <c r="M284" i="114" s="1"/>
  <c r="L165" i="114"/>
  <c r="M108" i="131"/>
  <c r="K2401" i="131"/>
  <c r="J2417" i="131"/>
  <c r="L279" i="131"/>
  <c r="L2417" i="131" s="1"/>
  <c r="J278" i="131"/>
  <c r="L278" i="131" s="1"/>
  <c r="X126" i="131"/>
  <c r="H2388" i="131"/>
  <c r="H1889" i="131"/>
  <c r="H2423" i="131" s="1"/>
  <c r="D27" i="36" s="1"/>
  <c r="I49" i="114"/>
  <c r="M50" i="114"/>
  <c r="T1537" i="131"/>
  <c r="G1536" i="131"/>
  <c r="W1537" i="131"/>
  <c r="K1537" i="131"/>
  <c r="K264" i="114"/>
  <c r="M269" i="114"/>
  <c r="M1290" i="131"/>
  <c r="L13" i="114"/>
  <c r="L12" i="114" s="1"/>
  <c r="K2137" i="131"/>
  <c r="I2136" i="131"/>
  <c r="W2136" i="131" s="1"/>
  <c r="I2431" i="131"/>
  <c r="L217" i="114"/>
  <c r="L216" i="114" s="1"/>
  <c r="L1672" i="131"/>
  <c r="L1671" i="131" s="1"/>
  <c r="M145" i="114"/>
  <c r="I144" i="114"/>
  <c r="I274" i="114"/>
  <c r="M275" i="114"/>
  <c r="I153" i="114"/>
  <c r="M154" i="114"/>
  <c r="H2409" i="131"/>
  <c r="D11" i="36" s="1"/>
  <c r="L1247" i="131"/>
  <c r="L2409" i="131" s="1"/>
  <c r="J144" i="114"/>
  <c r="L145" i="114"/>
  <c r="M96" i="114"/>
  <c r="M95" i="114" s="1"/>
  <c r="L2244" i="131"/>
  <c r="J2225" i="131"/>
  <c r="M304" i="114"/>
  <c r="J226" i="131"/>
  <c r="L227" i="131"/>
  <c r="J142" i="114"/>
  <c r="L142" i="114" s="1"/>
  <c r="L143" i="114"/>
  <c r="M355" i="114"/>
  <c r="M354" i="114" s="1"/>
  <c r="M2248" i="131"/>
  <c r="I2225" i="131"/>
  <c r="W2248" i="131"/>
  <c r="K475" i="131"/>
  <c r="M475" i="131" s="1"/>
  <c r="T475" i="131"/>
  <c r="W475" i="131"/>
  <c r="H489" i="131"/>
  <c r="L501" i="131"/>
  <c r="I122" i="114"/>
  <c r="M122" i="114" s="1"/>
  <c r="M123" i="114"/>
  <c r="J1627" i="131"/>
  <c r="L1628" i="131"/>
  <c r="L347" i="114"/>
  <c r="L346" i="114" s="1"/>
  <c r="I2402" i="131"/>
  <c r="X1764" i="131"/>
  <c r="T527" i="131"/>
  <c r="W527" i="131"/>
  <c r="K527" i="131"/>
  <c r="T1890" i="131"/>
  <c r="K1890" i="131"/>
  <c r="I2388" i="131"/>
  <c r="W1890" i="131"/>
  <c r="K125" i="114"/>
  <c r="M125" i="114" s="1"/>
  <c r="M126" i="114"/>
  <c r="U2035" i="131"/>
  <c r="U1767" i="131" s="1"/>
  <c r="U2476" i="131" s="1"/>
  <c r="U2426" i="131"/>
  <c r="U2430" i="131" s="1"/>
  <c r="U2420" i="131"/>
  <c r="U2425" i="131" s="1"/>
  <c r="U73" i="131"/>
  <c r="U72" i="131" s="1"/>
  <c r="U2469" i="131" s="1"/>
  <c r="U2479" i="131" s="1"/>
  <c r="J269" i="114"/>
  <c r="L270" i="114"/>
  <c r="G1820" i="131"/>
  <c r="G2421" i="131" s="1"/>
  <c r="C25" i="36" s="1"/>
  <c r="L25" i="36" s="1"/>
  <c r="G2393" i="131"/>
  <c r="M82" i="114"/>
  <c r="M81" i="114" s="1"/>
  <c r="J2421" i="131"/>
  <c r="L1820" i="131"/>
  <c r="L2421" i="131" s="1"/>
  <c r="M283" i="114"/>
  <c r="H2324" i="131"/>
  <c r="H2288" i="131" s="1"/>
  <c r="L2325" i="131"/>
  <c r="I311" i="114"/>
  <c r="M312" i="114"/>
  <c r="H9" i="36"/>
  <c r="W2211" i="131"/>
  <c r="K2211" i="131"/>
  <c r="V2421" i="131"/>
  <c r="V1812" i="131"/>
  <c r="I1464" i="131"/>
  <c r="K1472" i="131"/>
  <c r="L27" i="114"/>
  <c r="H24" i="114"/>
  <c r="K898" i="131"/>
  <c r="M898" i="131" s="1"/>
  <c r="W898" i="131"/>
  <c r="T898" i="131"/>
  <c r="L1821" i="131"/>
  <c r="J2393" i="131"/>
  <c r="J320" i="114"/>
  <c r="L321" i="114"/>
  <c r="M1075" i="131"/>
  <c r="X1075" i="131"/>
  <c r="H10" i="36"/>
  <c r="J1482" i="131"/>
  <c r="K2339" i="131"/>
  <c r="K2452" i="131" s="1"/>
  <c r="W2339" i="131"/>
  <c r="G2452" i="131"/>
  <c r="C58" i="36" s="1"/>
  <c r="L80" i="114"/>
  <c r="L79" i="114" s="1"/>
  <c r="M538" i="131"/>
  <c r="X538" i="131"/>
  <c r="I238" i="114"/>
  <c r="M238" i="114" s="1"/>
  <c r="M239" i="114"/>
  <c r="M35" i="114"/>
  <c r="I33" i="114"/>
  <c r="M290" i="114"/>
  <c r="M289" i="114" s="1"/>
  <c r="M85" i="114"/>
  <c r="M84" i="114" s="1"/>
  <c r="L353" i="114"/>
  <c r="L352" i="114" s="1"/>
  <c r="M435" i="131"/>
  <c r="K426" i="131"/>
  <c r="M426" i="131" s="1"/>
  <c r="M78" i="114"/>
  <c r="M77" i="114" s="1"/>
  <c r="L568" i="131"/>
  <c r="K2067" i="131"/>
  <c r="M1585" i="131"/>
  <c r="K1584" i="131"/>
  <c r="T1584" i="131"/>
  <c r="W1584" i="131"/>
  <c r="G1583" i="131"/>
  <c r="G2450" i="131" s="1"/>
  <c r="E61" i="36"/>
  <c r="E59" i="36" s="1"/>
  <c r="I2455" i="131"/>
  <c r="L2175" i="131"/>
  <c r="H2174" i="131"/>
  <c r="X812" i="131"/>
  <c r="K811" i="131"/>
  <c r="M811" i="131" s="1"/>
  <c r="M812" i="131"/>
  <c r="L537" i="131"/>
  <c r="H536" i="131"/>
  <c r="J315" i="114"/>
  <c r="L316" i="114"/>
  <c r="I178" i="114"/>
  <c r="M179" i="114"/>
  <c r="H1877" i="131"/>
  <c r="H1869" i="131" s="1"/>
  <c r="L1878" i="131"/>
  <c r="L1877" i="131" s="1"/>
  <c r="X899" i="131"/>
  <c r="T903" i="131"/>
  <c r="I897" i="131"/>
  <c r="W903" i="131"/>
  <c r="K903" i="131"/>
  <c r="L1871" i="131"/>
  <c r="J1870" i="131"/>
  <c r="J2404" i="131" s="1"/>
  <c r="K2071" i="131"/>
  <c r="K2397" i="131" s="1"/>
  <c r="I2397" i="131"/>
  <c r="M476" i="131"/>
  <c r="X476" i="131"/>
  <c r="J1064" i="131"/>
  <c r="L1065" i="131"/>
  <c r="M98" i="114"/>
  <c r="M97" i="114" s="1"/>
  <c r="L2190" i="131"/>
  <c r="J2282" i="131"/>
  <c r="L2283" i="131"/>
  <c r="K226" i="131"/>
  <c r="H264" i="114"/>
  <c r="H2426" i="131"/>
  <c r="D30" i="36" s="1"/>
  <c r="L1424" i="131"/>
  <c r="X528" i="131"/>
  <c r="X1897" i="131"/>
  <c r="G2174" i="131"/>
  <c r="K2190" i="131"/>
  <c r="M2190" i="131" s="1"/>
  <c r="M116" i="114"/>
  <c r="I109" i="114"/>
  <c r="I174" i="114"/>
  <c r="M174" i="114" s="1"/>
  <c r="M175" i="114"/>
  <c r="J312" i="114"/>
  <c r="L312" i="114" s="1"/>
  <c r="L313" i="114"/>
  <c r="G2411" i="131"/>
  <c r="C13" i="36" s="1"/>
  <c r="L13" i="36" s="1"/>
  <c r="G1670" i="131"/>
  <c r="K74" i="114"/>
  <c r="J611" i="131"/>
  <c r="L611" i="131" s="1"/>
  <c r="L624" i="131"/>
  <c r="L209" i="114"/>
  <c r="L208" i="114" s="1"/>
  <c r="M2212" i="131"/>
  <c r="H1288" i="131"/>
  <c r="H1232" i="131" s="1"/>
  <c r="L1325" i="131"/>
  <c r="M1058" i="131"/>
  <c r="X1058" i="131"/>
  <c r="M80" i="114"/>
  <c r="M79" i="114" s="1"/>
  <c r="M458" i="131"/>
  <c r="X458" i="131"/>
  <c r="M904" i="131"/>
  <c r="J1889" i="131"/>
  <c r="J2398" i="131"/>
  <c r="L1907" i="131"/>
  <c r="L370" i="131"/>
  <c r="H366" i="131"/>
  <c r="W537" i="131"/>
  <c r="T537" i="131"/>
  <c r="K537" i="131"/>
  <c r="J343" i="114"/>
  <c r="J327" i="114" s="1"/>
  <c r="T366" i="131"/>
  <c r="W366" i="131"/>
  <c r="J107" i="114"/>
  <c r="J105" i="114" s="1"/>
  <c r="J102" i="114" s="1"/>
  <c r="K366" i="131"/>
  <c r="M366" i="131" s="1"/>
  <c r="I365" i="131"/>
  <c r="R1232" i="131"/>
  <c r="R2414" i="131"/>
  <c r="D66" i="36"/>
  <c r="L1507" i="131"/>
  <c r="L255" i="114"/>
  <c r="J254" i="114"/>
  <c r="L254" i="114" s="1"/>
  <c r="L30" i="114"/>
  <c r="H29" i="114"/>
  <c r="J194" i="114"/>
  <c r="L195" i="114"/>
  <c r="J186" i="114"/>
  <c r="J180" i="114" s="1"/>
  <c r="L187" i="114"/>
  <c r="T1719" i="131"/>
  <c r="G1718" i="131"/>
  <c r="K1719" i="131"/>
  <c r="M1719" i="131" s="1"/>
  <c r="W1719" i="131"/>
  <c r="J2445" i="131"/>
  <c r="L1531" i="131"/>
  <c r="L2445" i="131" s="1"/>
  <c r="M309" i="114"/>
  <c r="H2413" i="131"/>
  <c r="D15" i="36" s="1"/>
  <c r="H1670" i="131"/>
  <c r="M407" i="131"/>
  <c r="I1432" i="131"/>
  <c r="K1433" i="131"/>
  <c r="L172" i="114"/>
  <c r="H171" i="114"/>
  <c r="L171" i="114" s="1"/>
  <c r="L400" i="114"/>
  <c r="M39" i="114"/>
  <c r="I38" i="114"/>
  <c r="H1521" i="131"/>
  <c r="H2443" i="131"/>
  <c r="H2395" i="131"/>
  <c r="I180" i="131"/>
  <c r="M112" i="131"/>
  <c r="I1220" i="131"/>
  <c r="T1221" i="131"/>
  <c r="W1221" i="131"/>
  <c r="K1221" i="131"/>
  <c r="M1221" i="131" s="1"/>
  <c r="M1637" i="131"/>
  <c r="K964" i="131"/>
  <c r="M964" i="131" s="1"/>
  <c r="W964" i="131"/>
  <c r="G897" i="131"/>
  <c r="G2386" i="131" s="1"/>
  <c r="K148" i="114"/>
  <c r="M149" i="114"/>
  <c r="K716" i="131"/>
  <c r="M716" i="131" s="1"/>
  <c r="I689" i="131"/>
  <c r="H387" i="114"/>
  <c r="L388" i="114"/>
  <c r="J1768" i="131"/>
  <c r="L1769" i="131"/>
  <c r="L206" i="131"/>
  <c r="H205" i="131"/>
  <c r="P188" i="131"/>
  <c r="G2395" i="131"/>
  <c r="L286" i="114"/>
  <c r="X1179" i="131"/>
  <c r="K1617" i="131"/>
  <c r="M1617" i="131" s="1"/>
  <c r="X1222" i="131"/>
  <c r="I1820" i="131"/>
  <c r="K1821" i="131"/>
  <c r="M1821" i="131" s="1"/>
  <c r="I2393" i="131"/>
  <c r="W1821" i="131"/>
  <c r="X407" i="131"/>
  <c r="M971" i="131"/>
  <c r="X971" i="131"/>
  <c r="X1627" i="131"/>
  <c r="G1869" i="131"/>
  <c r="K237" i="114"/>
  <c r="M244" i="114"/>
  <c r="L1549" i="131"/>
  <c r="J2395" i="131"/>
  <c r="M181" i="131"/>
  <c r="M1179" i="131"/>
  <c r="X1674" i="131"/>
  <c r="J49" i="114"/>
  <c r="L50" i="114"/>
  <c r="I1672" i="131"/>
  <c r="I1671" i="131" s="1"/>
  <c r="W1673" i="131"/>
  <c r="K1673" i="131"/>
  <c r="M1673" i="131" s="1"/>
  <c r="T1673" i="131"/>
  <c r="M1175" i="131"/>
  <c r="G199" i="131"/>
  <c r="K199" i="131" s="1"/>
  <c r="K200" i="131"/>
  <c r="M776" i="131"/>
  <c r="M388" i="114"/>
  <c r="I387" i="114"/>
  <c r="H247" i="114"/>
  <c r="L248" i="114"/>
  <c r="H376" i="114"/>
  <c r="W448" i="131"/>
  <c r="J897" i="131"/>
  <c r="L903" i="131"/>
  <c r="R2434" i="131"/>
  <c r="R2439" i="131" s="1"/>
  <c r="H90" i="131"/>
  <c r="M240" i="114"/>
  <c r="L238" i="114"/>
  <c r="H237" i="114"/>
  <c r="K171" i="114"/>
  <c r="M172" i="114"/>
  <c r="X455" i="131"/>
  <c r="L285" i="114"/>
  <c r="J1016" i="131"/>
  <c r="J1015" i="131" s="1"/>
  <c r="L1017" i="131"/>
  <c r="K448" i="131"/>
  <c r="I535" i="131"/>
  <c r="K535" i="131" s="1"/>
  <c r="J210" i="131"/>
  <c r="L210" i="131" s="1"/>
  <c r="L211" i="131"/>
  <c r="M396" i="131"/>
  <c r="J284" i="131"/>
  <c r="T448" i="131"/>
  <c r="H286" i="131"/>
  <c r="L287" i="131"/>
  <c r="X551" i="131"/>
  <c r="L262" i="114"/>
  <c r="I5" i="121"/>
  <c r="B3" i="273"/>
  <c r="L3" i="273" s="1"/>
  <c r="G6" i="121"/>
  <c r="K2326" i="131"/>
  <c r="M2326" i="131" s="1"/>
  <c r="G2325" i="131"/>
  <c r="G2384" i="131" s="1"/>
  <c r="W2326" i="131"/>
  <c r="H118" i="114"/>
  <c r="L119" i="114"/>
  <c r="M2327" i="131"/>
  <c r="X2327" i="131"/>
  <c r="H125" i="114"/>
  <c r="L126" i="114"/>
  <c r="K2283" i="131"/>
  <c r="G2282" i="131"/>
  <c r="X1985" i="131"/>
  <c r="X1710" i="131"/>
  <c r="K1704" i="131"/>
  <c r="X1704" i="131" s="1"/>
  <c r="M1710" i="131"/>
  <c r="N15" i="36"/>
  <c r="L15" i="36"/>
  <c r="W1616" i="131"/>
  <c r="K1616" i="131"/>
  <c r="T1616" i="131"/>
  <c r="X1425" i="131"/>
  <c r="M1425" i="131"/>
  <c r="L181" i="114"/>
  <c r="M1108" i="131"/>
  <c r="M401" i="114"/>
  <c r="H2402" i="131"/>
  <c r="L856" i="131"/>
  <c r="L153" i="114"/>
  <c r="L152" i="114" s="1"/>
  <c r="H152" i="114"/>
  <c r="W810" i="131"/>
  <c r="K810" i="131"/>
  <c r="K805" i="131" s="1"/>
  <c r="T810" i="131"/>
  <c r="X720" i="131"/>
  <c r="K568" i="131"/>
  <c r="T568" i="131"/>
  <c r="X590" i="131"/>
  <c r="L82" i="114"/>
  <c r="L81" i="114" s="1"/>
  <c r="G534" i="131"/>
  <c r="X42" i="131"/>
  <c r="F8" i="1"/>
  <c r="F7" i="1" s="1"/>
  <c r="G3" i="1" s="1"/>
  <c r="G19" i="1" s="1"/>
  <c r="E18" i="1"/>
  <c r="N2475" i="131"/>
  <c r="M4" i="273"/>
  <c r="C5" i="273"/>
  <c r="N2463" i="131"/>
  <c r="I7" i="1"/>
  <c r="H7" i="1"/>
  <c r="G6" i="1"/>
  <c r="H4" i="1"/>
  <c r="D315" i="1"/>
  <c r="U1669" i="131"/>
  <c r="U2475" i="131" s="1"/>
  <c r="U1530" i="131"/>
  <c r="U1231" i="131" s="1"/>
  <c r="U2446" i="131"/>
  <c r="U2449" i="131" s="1"/>
  <c r="D23" i="273"/>
  <c r="D24" i="273" s="1"/>
  <c r="N3" i="273"/>
  <c r="D5" i="273"/>
  <c r="N4" i="273"/>
  <c r="C29" i="39"/>
  <c r="C28" i="39" s="1"/>
  <c r="C27" i="39" s="1"/>
  <c r="C26" i="39" s="1"/>
  <c r="R2437" i="131"/>
  <c r="R2224" i="131"/>
  <c r="R2210" i="131" s="1"/>
  <c r="R2477" i="131" s="1"/>
  <c r="AJ8" i="1"/>
  <c r="D52" i="36"/>
  <c r="J2456" i="131"/>
  <c r="J1717" i="131"/>
  <c r="V1768" i="131"/>
  <c r="V2414" i="131"/>
  <c r="V2415" i="131" s="1"/>
  <c r="S2460" i="131"/>
  <c r="S2461" i="131" s="1"/>
  <c r="S745" i="131"/>
  <c r="F6" i="121"/>
  <c r="X2227" i="131" l="1"/>
  <c r="K469" i="131"/>
  <c r="M469" i="131" s="1"/>
  <c r="L2059" i="131"/>
  <c r="L2427" i="131" s="1"/>
  <c r="T469" i="131"/>
  <c r="X1720" i="131"/>
  <c r="N2424" i="131"/>
  <c r="R566" i="131"/>
  <c r="X568" i="131"/>
  <c r="K2402" i="131"/>
  <c r="N2483" i="131"/>
  <c r="M298" i="114"/>
  <c r="N565" i="131"/>
  <c r="N527" i="131" s="1"/>
  <c r="L1522" i="131"/>
  <c r="J2288" i="131"/>
  <c r="L2288" i="131" s="1"/>
  <c r="K1424" i="131"/>
  <c r="X2290" i="131"/>
  <c r="J2443" i="131"/>
  <c r="F47" i="36" s="1"/>
  <c r="F46" i="36" s="1"/>
  <c r="L298" i="114"/>
  <c r="K2059" i="131"/>
  <c r="L197" i="114"/>
  <c r="X469" i="131"/>
  <c r="M308" i="114"/>
  <c r="J2414" i="131"/>
  <c r="K180" i="114"/>
  <c r="Q180" i="114" s="1"/>
  <c r="L2390" i="131"/>
  <c r="X885" i="131"/>
  <c r="K2390" i="131"/>
  <c r="H180" i="114"/>
  <c r="N180" i="114" s="1"/>
  <c r="I1889" i="131"/>
  <c r="I2423" i="131" s="1"/>
  <c r="E27" i="36" s="1"/>
  <c r="X1508" i="131"/>
  <c r="T1507" i="131"/>
  <c r="G1423" i="131"/>
  <c r="M1731" i="131"/>
  <c r="T1424" i="131"/>
  <c r="X1325" i="131"/>
  <c r="W1424" i="131"/>
  <c r="X1424" i="131" s="1"/>
  <c r="C59" i="36"/>
  <c r="L59" i="36" s="1"/>
  <c r="G2394" i="131"/>
  <c r="I2414" i="131"/>
  <c r="E16" i="36" s="1"/>
  <c r="X382" i="131"/>
  <c r="X1769" i="131"/>
  <c r="X668" i="131"/>
  <c r="X1509" i="131"/>
  <c r="J23" i="114"/>
  <c r="P23" i="114" s="1"/>
  <c r="J2411" i="131"/>
  <c r="F13" i="36" s="1"/>
  <c r="H2384" i="131"/>
  <c r="R2415" i="131"/>
  <c r="I2444" i="131"/>
  <c r="X1607" i="131"/>
  <c r="I73" i="131"/>
  <c r="I72" i="131" s="1"/>
  <c r="I2469" i="131" s="1"/>
  <c r="L24" i="114"/>
  <c r="X1507" i="131"/>
  <c r="G2422" i="131"/>
  <c r="C26" i="36" s="1"/>
  <c r="L1232" i="131"/>
  <c r="T1097" i="131"/>
  <c r="L308" i="114"/>
  <c r="K381" i="131"/>
  <c r="M381" i="131" s="1"/>
  <c r="W1288" i="131"/>
  <c r="X1017" i="131"/>
  <c r="L1423" i="131"/>
  <c r="I1482" i="131"/>
  <c r="W1482" i="131" s="1"/>
  <c r="L302" i="114"/>
  <c r="H31" i="36"/>
  <c r="L1288" i="131"/>
  <c r="I73" i="114"/>
  <c r="M1289" i="131"/>
  <c r="V2424" i="131"/>
  <c r="G2438" i="131"/>
  <c r="C42" i="36" s="1"/>
  <c r="L42" i="36" s="1"/>
  <c r="X370" i="131"/>
  <c r="L237" i="114"/>
  <c r="J73" i="114"/>
  <c r="W1097" i="131"/>
  <c r="X738" i="131"/>
  <c r="L1102" i="131"/>
  <c r="L1097" i="131" s="1"/>
  <c r="L2438" i="131" s="1"/>
  <c r="M470" i="131"/>
  <c r="R804" i="131"/>
  <c r="R803" i="131" s="1"/>
  <c r="R2473" i="131" s="1"/>
  <c r="T1016" i="131"/>
  <c r="W1016" i="131"/>
  <c r="K1016" i="131"/>
  <c r="K1015" i="131" s="1"/>
  <c r="K2435" i="131" s="1"/>
  <c r="H53" i="36"/>
  <c r="X234" i="131"/>
  <c r="K279" i="114"/>
  <c r="Q279" i="114" s="1"/>
  <c r="D44" i="36"/>
  <c r="D43" i="36" s="1"/>
  <c r="L383" i="114"/>
  <c r="L380" i="114" s="1"/>
  <c r="H1583" i="131"/>
  <c r="L1584" i="131"/>
  <c r="X1497" i="131"/>
  <c r="L2379" i="131"/>
  <c r="K2379" i="131"/>
  <c r="S357" i="131"/>
  <c r="S283" i="131" s="1"/>
  <c r="S2470" i="131" s="1"/>
  <c r="S2424" i="131"/>
  <c r="X536" i="131"/>
  <c r="L810" i="131"/>
  <c r="L805" i="131" s="1"/>
  <c r="J805" i="131"/>
  <c r="J2433" i="131" s="1"/>
  <c r="F37" i="36" s="1"/>
  <c r="L1464" i="131"/>
  <c r="U2483" i="131"/>
  <c r="M234" i="131"/>
  <c r="I284" i="131"/>
  <c r="O194" i="114"/>
  <c r="H565" i="131"/>
  <c r="X13" i="131"/>
  <c r="V2463" i="131"/>
  <c r="V2480" i="131" s="1"/>
  <c r="S2463" i="131"/>
  <c r="S2480" i="131" s="1"/>
  <c r="N10" i="36"/>
  <c r="X501" i="131"/>
  <c r="I364" i="131"/>
  <c r="I357" i="131" s="1"/>
  <c r="X225" i="131"/>
  <c r="X185" i="131"/>
  <c r="K2385" i="131"/>
  <c r="K327" i="114"/>
  <c r="Q327" i="114" s="1"/>
  <c r="K2408" i="131"/>
  <c r="J279" i="114"/>
  <c r="P279" i="114" s="1"/>
  <c r="P390" i="114"/>
  <c r="N197" i="114"/>
  <c r="H73" i="114"/>
  <c r="H11" i="131"/>
  <c r="H2468" i="131" s="1"/>
  <c r="W12" i="131"/>
  <c r="K12" i="131"/>
  <c r="M12" i="131" s="1"/>
  <c r="L390" i="114"/>
  <c r="L58" i="114"/>
  <c r="N390" i="114"/>
  <c r="M24" i="114"/>
  <c r="L33" i="114"/>
  <c r="M33" i="114"/>
  <c r="L397" i="114"/>
  <c r="N13" i="36"/>
  <c r="O390" i="114"/>
  <c r="M280" i="114"/>
  <c r="G11" i="131"/>
  <c r="W11" i="131" s="1"/>
  <c r="G2381" i="131"/>
  <c r="K2395" i="131"/>
  <c r="H2434" i="131"/>
  <c r="D38" i="36" s="1"/>
  <c r="K2289" i="131"/>
  <c r="X2289" i="131" s="1"/>
  <c r="T1288" i="131"/>
  <c r="N279" i="114"/>
  <c r="U2424" i="131"/>
  <c r="I2394" i="131"/>
  <c r="L470" i="131"/>
  <c r="J469" i="131"/>
  <c r="L469" i="131" s="1"/>
  <c r="M1412" i="131"/>
  <c r="X1412" i="131"/>
  <c r="G2428" i="131"/>
  <c r="C32" i="36" s="1"/>
  <c r="K2459" i="131"/>
  <c r="J2450" i="131"/>
  <c r="J2453" i="131" s="1"/>
  <c r="L83" i="114"/>
  <c r="M1325" i="131"/>
  <c r="M397" i="114"/>
  <c r="L2225" i="131"/>
  <c r="Q390" i="114"/>
  <c r="K1411" i="131"/>
  <c r="T1411" i="131"/>
  <c r="I1410" i="131"/>
  <c r="W1411" i="131"/>
  <c r="W1768" i="131"/>
  <c r="T1768" i="131"/>
  <c r="K1768" i="131"/>
  <c r="K690" i="131"/>
  <c r="T690" i="131"/>
  <c r="G689" i="131"/>
  <c r="G2441" i="131" s="1"/>
  <c r="C45" i="36" s="1"/>
  <c r="L45" i="36" s="1"/>
  <c r="W690" i="131"/>
  <c r="I237" i="114"/>
  <c r="M237" i="114" s="1"/>
  <c r="J364" i="131"/>
  <c r="J357" i="131" s="1"/>
  <c r="I2265" i="131"/>
  <c r="K2266" i="131"/>
  <c r="W2266" i="131"/>
  <c r="I2384" i="131"/>
  <c r="U2463" i="131"/>
  <c r="U2480" i="131" s="1"/>
  <c r="T381" i="131"/>
  <c r="K1097" i="131"/>
  <c r="K2438" i="131" s="1"/>
  <c r="G2398" i="131"/>
  <c r="N327" i="114" s="1"/>
  <c r="H1482" i="131"/>
  <c r="L1482" i="131" s="1"/>
  <c r="K246" i="114"/>
  <c r="M254" i="114"/>
  <c r="J73" i="131"/>
  <c r="J72" i="131" s="1"/>
  <c r="J2469" i="131" s="1"/>
  <c r="L2402" i="131"/>
  <c r="L2393" i="131"/>
  <c r="M2267" i="131"/>
  <c r="X2267" i="131"/>
  <c r="J1220" i="131"/>
  <c r="L1220" i="131" s="1"/>
  <c r="L1221" i="131"/>
  <c r="W381" i="131"/>
  <c r="K1907" i="131"/>
  <c r="K2398" i="131" s="1"/>
  <c r="M343" i="114"/>
  <c r="M327" i="114" s="1"/>
  <c r="M29" i="114"/>
  <c r="L381" i="131"/>
  <c r="X1970" i="131"/>
  <c r="X1065" i="131"/>
  <c r="K2389" i="131"/>
  <c r="X1523" i="131"/>
  <c r="M1523" i="131"/>
  <c r="H148" i="114"/>
  <c r="L149" i="114"/>
  <c r="G1521" i="131"/>
  <c r="W1522" i="131"/>
  <c r="T1522" i="131"/>
  <c r="G2443" i="131"/>
  <c r="K1522" i="131"/>
  <c r="N526" i="131"/>
  <c r="I383" i="114"/>
  <c r="M384" i="114"/>
  <c r="S804" i="131"/>
  <c r="S803" i="131" s="1"/>
  <c r="S2473" i="131" s="1"/>
  <c r="P327" i="114"/>
  <c r="I2374" i="131"/>
  <c r="R2440" i="131"/>
  <c r="R2442" i="131" s="1"/>
  <c r="R565" i="131"/>
  <c r="R526" i="131" s="1"/>
  <c r="R2472" i="131" s="1"/>
  <c r="I2433" i="131"/>
  <c r="E37" i="36" s="1"/>
  <c r="X395" i="131"/>
  <c r="W180" i="131"/>
  <c r="X496" i="131"/>
  <c r="M536" i="131"/>
  <c r="X104" i="131"/>
  <c r="K157" i="114"/>
  <c r="M390" i="114"/>
  <c r="H1737" i="131"/>
  <c r="L1737" i="131" s="1"/>
  <c r="L1738" i="131"/>
  <c r="I55" i="114"/>
  <c r="M55" i="114" s="1"/>
  <c r="M56" i="114"/>
  <c r="F35" i="36"/>
  <c r="F34" i="36" s="1"/>
  <c r="J2432" i="131"/>
  <c r="I2399" i="131"/>
  <c r="I2036" i="131"/>
  <c r="K2037" i="131"/>
  <c r="M2037" i="131" s="1"/>
  <c r="W2037" i="131"/>
  <c r="L131" i="114"/>
  <c r="J128" i="114"/>
  <c r="M83" i="114"/>
  <c r="Q102" i="114"/>
  <c r="M322" i="114"/>
  <c r="K317" i="114"/>
  <c r="L12" i="36"/>
  <c r="N12" i="36"/>
  <c r="K73" i="114"/>
  <c r="L11" i="114"/>
  <c r="R11" i="114" s="1"/>
  <c r="K74" i="131"/>
  <c r="K2420" i="131" s="1"/>
  <c r="I747" i="131"/>
  <c r="W758" i="131"/>
  <c r="K758" i="131"/>
  <c r="M146" i="114"/>
  <c r="K139" i="114"/>
  <c r="Q139" i="114" s="1"/>
  <c r="X1278" i="131"/>
  <c r="K2410" i="131"/>
  <c r="L129" i="114"/>
  <c r="H128" i="114"/>
  <c r="H1718" i="131"/>
  <c r="H2381" i="131"/>
  <c r="L1719" i="131"/>
  <c r="M110" i="114"/>
  <c r="K109" i="114"/>
  <c r="M109" i="114" s="1"/>
  <c r="J246" i="114"/>
  <c r="X75" i="131"/>
  <c r="S1231" i="131"/>
  <c r="S2474" i="131" s="1"/>
  <c r="X959" i="131"/>
  <c r="J377" i="114"/>
  <c r="L378" i="114"/>
  <c r="L74" i="114"/>
  <c r="D35" i="36"/>
  <c r="D34" i="36" s="1"/>
  <c r="H2432" i="131"/>
  <c r="K2400" i="131"/>
  <c r="M1348" i="131"/>
  <c r="W611" i="131"/>
  <c r="K611" i="131"/>
  <c r="L1411" i="131"/>
  <c r="H1410" i="131"/>
  <c r="X1348" i="131"/>
  <c r="R2428" i="131"/>
  <c r="R2430" i="131" s="1"/>
  <c r="R1423" i="131"/>
  <c r="R1231" i="131" s="1"/>
  <c r="K1288" i="131"/>
  <c r="M1065" i="131"/>
  <c r="M265" i="114"/>
  <c r="M264" i="114" s="1"/>
  <c r="I264" i="114"/>
  <c r="H174" i="114"/>
  <c r="L174" i="114" s="1"/>
  <c r="L175" i="114"/>
  <c r="V1767" i="131"/>
  <c r="V2476" i="131" s="1"/>
  <c r="G73" i="131"/>
  <c r="M302" i="114"/>
  <c r="W489" i="131"/>
  <c r="K489" i="131"/>
  <c r="M489" i="131" s="1"/>
  <c r="X1727" i="131"/>
  <c r="L1463" i="131"/>
  <c r="H2428" i="131"/>
  <c r="X490" i="131"/>
  <c r="M1531" i="131"/>
  <c r="X1531" i="131"/>
  <c r="K2445" i="131"/>
  <c r="S526" i="131"/>
  <c r="S2472" i="131" s="1"/>
  <c r="W74" i="131"/>
  <c r="J1535" i="131"/>
  <c r="J1530" i="131" s="1"/>
  <c r="L1530" i="131" s="1"/>
  <c r="K2225" i="131"/>
  <c r="K2437" i="131" s="1"/>
  <c r="T489" i="131"/>
  <c r="H1073" i="131"/>
  <c r="H804" i="131" s="1"/>
  <c r="L1074" i="131"/>
  <c r="H2386" i="131"/>
  <c r="I2450" i="131"/>
  <c r="I2288" i="131"/>
  <c r="M959" i="131"/>
  <c r="I1063" i="131"/>
  <c r="W1064" i="131"/>
  <c r="T1064" i="131"/>
  <c r="K1064" i="131"/>
  <c r="I246" i="114"/>
  <c r="K128" i="114"/>
  <c r="M128" i="114" s="1"/>
  <c r="M135" i="114"/>
  <c r="M1515" i="131"/>
  <c r="X1515" i="131"/>
  <c r="L2103" i="131"/>
  <c r="J2428" i="131"/>
  <c r="F32" i="36" s="1"/>
  <c r="O279" i="114"/>
  <c r="M2226" i="131"/>
  <c r="X2226" i="131"/>
  <c r="M1727" i="131"/>
  <c r="X1102" i="131"/>
  <c r="J689" i="131"/>
  <c r="M181" i="114"/>
  <c r="M180" i="114" s="1"/>
  <c r="W1738" i="131"/>
  <c r="K1738" i="131"/>
  <c r="G1737" i="131"/>
  <c r="T1738" i="131"/>
  <c r="M65" i="131"/>
  <c r="X65" i="131"/>
  <c r="M279" i="131"/>
  <c r="X279" i="131"/>
  <c r="K2417" i="131"/>
  <c r="X1739" i="131"/>
  <c r="M1739" i="131"/>
  <c r="W286" i="131"/>
  <c r="K286" i="131"/>
  <c r="T286" i="131"/>
  <c r="G285" i="131"/>
  <c r="T211" i="131"/>
  <c r="W211" i="131"/>
  <c r="K211" i="131"/>
  <c r="G210" i="131"/>
  <c r="L748" i="131"/>
  <c r="J747" i="131"/>
  <c r="H14" i="36"/>
  <c r="G2418" i="131"/>
  <c r="C19" i="36"/>
  <c r="C17" i="36" s="1"/>
  <c r="G17" i="36" s="1"/>
  <c r="G2359" i="131"/>
  <c r="K2359" i="131" s="1"/>
  <c r="M2359" i="131" s="1"/>
  <c r="K2360" i="131"/>
  <c r="M2360" i="131" s="1"/>
  <c r="T1726" i="131"/>
  <c r="G1725" i="131"/>
  <c r="W1726" i="131"/>
  <c r="K1726" i="131"/>
  <c r="H276" i="114"/>
  <c r="L276" i="114" s="1"/>
  <c r="L277" i="114"/>
  <c r="M158" i="114"/>
  <c r="I157" i="114"/>
  <c r="X287" i="131"/>
  <c r="M287" i="131"/>
  <c r="M212" i="131"/>
  <c r="X212" i="131"/>
  <c r="D14" i="36"/>
  <c r="W278" i="131"/>
  <c r="G224" i="131"/>
  <c r="K278" i="131"/>
  <c r="M1103" i="131"/>
  <c r="X1103" i="131"/>
  <c r="L52" i="114"/>
  <c r="H48" i="114"/>
  <c r="M1424" i="131"/>
  <c r="G2382" i="131"/>
  <c r="X2024" i="131"/>
  <c r="T488" i="131"/>
  <c r="W488" i="131"/>
  <c r="K488" i="131"/>
  <c r="M488" i="131" s="1"/>
  <c r="L2395" i="131"/>
  <c r="Q197" i="114"/>
  <c r="M2339" i="131"/>
  <c r="X898" i="131"/>
  <c r="K180" i="131"/>
  <c r="M180" i="131" s="1"/>
  <c r="X366" i="131"/>
  <c r="M144" i="114"/>
  <c r="I139" i="114"/>
  <c r="I2432" i="131"/>
  <c r="E35" i="36"/>
  <c r="E34" i="36" s="1"/>
  <c r="M1537" i="131"/>
  <c r="X1537" i="131"/>
  <c r="M1870" i="131"/>
  <c r="X1870" i="131"/>
  <c r="L2266" i="131"/>
  <c r="H2265" i="131"/>
  <c r="K2136" i="131"/>
  <c r="X2136" i="131" s="1"/>
  <c r="M49" i="114"/>
  <c r="L2418" i="131"/>
  <c r="H19" i="36"/>
  <c r="H1731" i="131"/>
  <c r="L1732" i="131"/>
  <c r="M74" i="114"/>
  <c r="H2411" i="131"/>
  <c r="D13" i="36" s="1"/>
  <c r="L2411" i="131"/>
  <c r="K2431" i="131"/>
  <c r="X2137" i="131"/>
  <c r="T1536" i="131"/>
  <c r="W1536" i="131"/>
  <c r="G1535" i="131"/>
  <c r="K1536" i="131"/>
  <c r="M1536" i="131" s="1"/>
  <c r="F19" i="36"/>
  <c r="F17" i="36" s="1"/>
  <c r="H17" i="36" s="1"/>
  <c r="M1233" i="131"/>
  <c r="X1233" i="131"/>
  <c r="K2407" i="131"/>
  <c r="K276" i="114"/>
  <c r="M276" i="114" s="1"/>
  <c r="M277" i="114"/>
  <c r="M568" i="131"/>
  <c r="I273" i="114"/>
  <c r="M273" i="114" s="1"/>
  <c r="M274" i="114"/>
  <c r="M2137" i="131"/>
  <c r="L496" i="131"/>
  <c r="J2394" i="131"/>
  <c r="I166" i="114"/>
  <c r="M167" i="114"/>
  <c r="M1282" i="131"/>
  <c r="X1282" i="131"/>
  <c r="K2412" i="131"/>
  <c r="K23" i="114"/>
  <c r="Q23" i="114" s="1"/>
  <c r="L2036" i="131"/>
  <c r="L2426" i="131" s="1"/>
  <c r="J2426" i="131"/>
  <c r="J2035" i="131"/>
  <c r="L2035" i="131" s="1"/>
  <c r="X1562" i="131"/>
  <c r="K2448" i="131"/>
  <c r="M1562" i="131"/>
  <c r="M377" i="114"/>
  <c r="K376" i="114"/>
  <c r="L366" i="131"/>
  <c r="I107" i="114"/>
  <c r="I105" i="114" s="1"/>
  <c r="I102" i="114" s="1"/>
  <c r="H365" i="131"/>
  <c r="J2423" i="131"/>
  <c r="F27" i="36" s="1"/>
  <c r="L1889" i="131"/>
  <c r="L2423" i="131" s="1"/>
  <c r="M226" i="131"/>
  <c r="L2398" i="131"/>
  <c r="I884" i="131"/>
  <c r="I2386" i="131"/>
  <c r="P151" i="114" s="1"/>
  <c r="H2422" i="131"/>
  <c r="D26" i="36" s="1"/>
  <c r="H1812" i="131"/>
  <c r="J314" i="114"/>
  <c r="L315" i="114"/>
  <c r="M1584" i="131"/>
  <c r="X1584" i="131"/>
  <c r="J567" i="131"/>
  <c r="J2374" i="131" s="1"/>
  <c r="X811" i="131"/>
  <c r="J317" i="114"/>
  <c r="L320" i="114"/>
  <c r="O311" i="114"/>
  <c r="M311" i="114"/>
  <c r="F25" i="36"/>
  <c r="X1890" i="131"/>
  <c r="K2388" i="131"/>
  <c r="J2396" i="131"/>
  <c r="Q311" i="114" s="1"/>
  <c r="J1617" i="131"/>
  <c r="L1627" i="131"/>
  <c r="H11" i="36"/>
  <c r="X426" i="131"/>
  <c r="I2383" i="131"/>
  <c r="P102" i="114" s="1"/>
  <c r="T365" i="131"/>
  <c r="K365" i="131"/>
  <c r="M365" i="131" s="1"/>
  <c r="W365" i="131"/>
  <c r="M537" i="131"/>
  <c r="X537" i="131"/>
  <c r="H535" i="131"/>
  <c r="L536" i="131"/>
  <c r="H2382" i="131"/>
  <c r="W1583" i="131"/>
  <c r="T1583" i="131"/>
  <c r="G1582" i="131"/>
  <c r="K1583" i="131"/>
  <c r="X226" i="131"/>
  <c r="G58" i="36"/>
  <c r="H2374" i="131"/>
  <c r="K1889" i="131"/>
  <c r="W1889" i="131"/>
  <c r="L343" i="114"/>
  <c r="L327" i="114" s="1"/>
  <c r="I2224" i="131"/>
  <c r="W2225" i="131"/>
  <c r="G2374" i="131"/>
  <c r="L107" i="114"/>
  <c r="L105" i="114" s="1"/>
  <c r="L102" i="114" s="1"/>
  <c r="J2447" i="131"/>
  <c r="F52" i="36" s="1"/>
  <c r="H52" i="36" s="1"/>
  <c r="J2264" i="131"/>
  <c r="L2282" i="131"/>
  <c r="L2447" i="131" s="1"/>
  <c r="J1063" i="131"/>
  <c r="L1064" i="131"/>
  <c r="M903" i="131"/>
  <c r="X903" i="131"/>
  <c r="M178" i="114"/>
  <c r="I177" i="114"/>
  <c r="M177" i="114" s="1"/>
  <c r="T2059" i="131"/>
  <c r="M2059" i="131"/>
  <c r="X2211" i="131"/>
  <c r="J264" i="114"/>
  <c r="L269" i="114"/>
  <c r="L264" i="114" s="1"/>
  <c r="H488" i="131"/>
  <c r="L488" i="131" s="1"/>
  <c r="L489" i="131"/>
  <c r="J225" i="131"/>
  <c r="L226" i="131"/>
  <c r="I108" i="114"/>
  <c r="G2173" i="131"/>
  <c r="W2174" i="131"/>
  <c r="K2174" i="131"/>
  <c r="T2174" i="131"/>
  <c r="H2398" i="131"/>
  <c r="O327" i="114" s="1"/>
  <c r="J1869" i="131"/>
  <c r="L1870" i="131"/>
  <c r="L2404" i="131" s="1"/>
  <c r="H2173" i="131"/>
  <c r="L2173" i="131" s="1"/>
  <c r="L2174" i="131"/>
  <c r="X2339" i="131"/>
  <c r="I1463" i="131"/>
  <c r="I1423" i="131" s="1"/>
  <c r="K1464" i="131"/>
  <c r="K2396" i="131" s="1"/>
  <c r="I2396" i="131"/>
  <c r="M2211" i="131"/>
  <c r="D57" i="36"/>
  <c r="L2324" i="131"/>
  <c r="H2451" i="131"/>
  <c r="H25" i="36"/>
  <c r="X527" i="131"/>
  <c r="M527" i="131"/>
  <c r="W2059" i="131"/>
  <c r="G2035" i="131"/>
  <c r="G2427" i="131"/>
  <c r="C31" i="36" s="1"/>
  <c r="L31" i="36" s="1"/>
  <c r="I2437" i="131"/>
  <c r="E41" i="36" s="1"/>
  <c r="X475" i="131"/>
  <c r="X2248" i="131"/>
  <c r="J2224" i="131"/>
  <c r="L2224" i="131" s="1"/>
  <c r="J2437" i="131"/>
  <c r="F41" i="36" s="1"/>
  <c r="J139" i="114"/>
  <c r="L144" i="114"/>
  <c r="I152" i="114"/>
  <c r="M153" i="114"/>
  <c r="M152" i="114" s="1"/>
  <c r="P197" i="114"/>
  <c r="X1617" i="131"/>
  <c r="L284" i="114"/>
  <c r="L387" i="114"/>
  <c r="R387" i="114" s="1"/>
  <c r="N387" i="114"/>
  <c r="T387" i="114" s="1"/>
  <c r="M148" i="114"/>
  <c r="Q148" i="114"/>
  <c r="H2444" i="131"/>
  <c r="D47" i="36"/>
  <c r="D46" i="36" s="1"/>
  <c r="I2427" i="131"/>
  <c r="W1432" i="131"/>
  <c r="K1432" i="131"/>
  <c r="T1432" i="131"/>
  <c r="H49" i="36"/>
  <c r="S11" i="114"/>
  <c r="X1719" i="131"/>
  <c r="L186" i="114"/>
  <c r="L180" i="114" s="1"/>
  <c r="P180" i="114"/>
  <c r="I2421" i="131"/>
  <c r="E25" i="36" s="1"/>
  <c r="T1820" i="131"/>
  <c r="K1820" i="131"/>
  <c r="M1820" i="131" s="1"/>
  <c r="W1820" i="131"/>
  <c r="L1768" i="131"/>
  <c r="M38" i="114"/>
  <c r="I23" i="114"/>
  <c r="L1670" i="131"/>
  <c r="P194" i="114"/>
  <c r="L194" i="114"/>
  <c r="L205" i="131"/>
  <c r="H201" i="131"/>
  <c r="L201" i="131" s="1"/>
  <c r="I2441" i="131"/>
  <c r="I565" i="131"/>
  <c r="K897" i="131"/>
  <c r="T897" i="131"/>
  <c r="G884" i="131"/>
  <c r="W897" i="131"/>
  <c r="H166" i="114"/>
  <c r="L166" i="114" s="1"/>
  <c r="L29" i="114"/>
  <c r="H23" i="114"/>
  <c r="G566" i="131"/>
  <c r="T566" i="131" s="1"/>
  <c r="K1869" i="131"/>
  <c r="W1869" i="131"/>
  <c r="G1812" i="131"/>
  <c r="X1821" i="131"/>
  <c r="K2393" i="131"/>
  <c r="X964" i="131"/>
  <c r="X1221" i="131"/>
  <c r="W1220" i="131"/>
  <c r="K1220" i="131"/>
  <c r="M1220" i="131" s="1"/>
  <c r="T1220" i="131"/>
  <c r="F49" i="36"/>
  <c r="L1521" i="131"/>
  <c r="G2456" i="131"/>
  <c r="G1717" i="131"/>
  <c r="T1718" i="131"/>
  <c r="W1718" i="131"/>
  <c r="K1718" i="131"/>
  <c r="M1718" i="131" s="1"/>
  <c r="J48" i="114"/>
  <c r="L49" i="114"/>
  <c r="X1673" i="131"/>
  <c r="I2381" i="131"/>
  <c r="K1672" i="131"/>
  <c r="T1672" i="131"/>
  <c r="W1672" i="131"/>
  <c r="M175" i="131"/>
  <c r="I534" i="131"/>
  <c r="K534" i="131" s="1"/>
  <c r="M534" i="131" s="1"/>
  <c r="I2435" i="131"/>
  <c r="L1016" i="131"/>
  <c r="L1015" i="131" s="1"/>
  <c r="M171" i="114"/>
  <c r="K166" i="114"/>
  <c r="O387" i="114"/>
  <c r="M387" i="114"/>
  <c r="S387" i="114" s="1"/>
  <c r="X448" i="131"/>
  <c r="M448" i="131"/>
  <c r="N376" i="114"/>
  <c r="R376" i="114" s="1"/>
  <c r="L286" i="131"/>
  <c r="H285" i="131"/>
  <c r="H2394" i="131"/>
  <c r="F16" i="36"/>
  <c r="W1015" i="131"/>
  <c r="T1015" i="131"/>
  <c r="W535" i="131"/>
  <c r="X535" i="131" s="1"/>
  <c r="H88" i="131"/>
  <c r="I68" i="114"/>
  <c r="I67" i="114" s="1"/>
  <c r="L90" i="131"/>
  <c r="M68" i="114" s="1"/>
  <c r="M67" i="114" s="1"/>
  <c r="L897" i="131"/>
  <c r="J2386" i="131"/>
  <c r="J884" i="131"/>
  <c r="L247" i="114"/>
  <c r="H246" i="114"/>
  <c r="K2367" i="131"/>
  <c r="G2324" i="131"/>
  <c r="K2325" i="131"/>
  <c r="M2325" i="131" s="1"/>
  <c r="W2325" i="131"/>
  <c r="H109" i="114"/>
  <c r="L109" i="114" s="1"/>
  <c r="L118" i="114"/>
  <c r="X2326" i="131"/>
  <c r="C56" i="36"/>
  <c r="G2447" i="131"/>
  <c r="K2282" i="131"/>
  <c r="K2447" i="131" s="1"/>
  <c r="G2264" i="131"/>
  <c r="L125" i="114"/>
  <c r="K2413" i="131"/>
  <c r="M1704" i="131"/>
  <c r="X1616" i="131"/>
  <c r="M1616" i="131"/>
  <c r="K1232" i="131"/>
  <c r="T1232" i="131"/>
  <c r="W1232" i="131"/>
  <c r="H2433" i="131"/>
  <c r="M810" i="131"/>
  <c r="X810" i="131"/>
  <c r="W805" i="131"/>
  <c r="G2433" i="131"/>
  <c r="C37" i="36" s="1"/>
  <c r="L37" i="36" s="1"/>
  <c r="T805" i="131"/>
  <c r="T567" i="131"/>
  <c r="W567" i="131"/>
  <c r="X567" i="131" s="1"/>
  <c r="C39" i="36"/>
  <c r="M535" i="131"/>
  <c r="G2424" i="131"/>
  <c r="G357" i="131"/>
  <c r="G7" i="1"/>
  <c r="N18" i="1"/>
  <c r="E8" i="1"/>
  <c r="F315" i="1"/>
  <c r="J2457" i="131"/>
  <c r="F64" i="36"/>
  <c r="F63" i="36" s="1"/>
  <c r="U2366" i="131"/>
  <c r="U2474" i="131"/>
  <c r="C31" i="273"/>
  <c r="M5" i="273"/>
  <c r="J1669" i="131"/>
  <c r="N5" i="273"/>
  <c r="F24" i="36"/>
  <c r="V2470" i="131"/>
  <c r="V2483" i="131"/>
  <c r="AJ7" i="1"/>
  <c r="AK8" i="1"/>
  <c r="J2444" i="131" l="1"/>
  <c r="L2443" i="131"/>
  <c r="L2444" i="131" s="1"/>
  <c r="J2415" i="131"/>
  <c r="I1812" i="131"/>
  <c r="W1812" i="131" s="1"/>
  <c r="T1889" i="131"/>
  <c r="X381" i="131"/>
  <c r="M279" i="114"/>
  <c r="T1482" i="131"/>
  <c r="O108" i="114"/>
  <c r="L2396" i="131"/>
  <c r="P48" i="114"/>
  <c r="F8" i="36"/>
  <c r="X1288" i="131"/>
  <c r="M1672" i="131"/>
  <c r="K1671" i="131"/>
  <c r="W73" i="131"/>
  <c r="K1482" i="131"/>
  <c r="X1482" i="131" s="1"/>
  <c r="L2384" i="131"/>
  <c r="O73" i="114"/>
  <c r="H42" i="36"/>
  <c r="M1015" i="131"/>
  <c r="X1016" i="131"/>
  <c r="M1016" i="131"/>
  <c r="G2468" i="131"/>
  <c r="F56" i="36"/>
  <c r="F54" i="36" s="1"/>
  <c r="H1582" i="131"/>
  <c r="L1582" i="131" s="1"/>
  <c r="L1583" i="131"/>
  <c r="L2450" i="131" s="1"/>
  <c r="H2450" i="131"/>
  <c r="D56" i="36" s="1"/>
  <c r="D54" i="36" s="1"/>
  <c r="T11" i="131"/>
  <c r="K11" i="131"/>
  <c r="M11" i="131" s="1"/>
  <c r="L2433" i="131"/>
  <c r="H37" i="36" s="1"/>
  <c r="I283" i="131"/>
  <c r="I2470" i="131" s="1"/>
  <c r="G10" i="36"/>
  <c r="H236" i="114"/>
  <c r="H413" i="114" s="1"/>
  <c r="I413" i="114" s="1"/>
  <c r="J2424" i="131"/>
  <c r="F28" i="36" s="1"/>
  <c r="N73" i="114"/>
  <c r="W364" i="131"/>
  <c r="T364" i="131"/>
  <c r="K364" i="131"/>
  <c r="X364" i="131" s="1"/>
  <c r="I2424" i="131"/>
  <c r="E28" i="36" s="1"/>
  <c r="E22" i="36" s="1"/>
  <c r="L11" i="131"/>
  <c r="L279" i="114"/>
  <c r="R279" i="114" s="1"/>
  <c r="P58" i="114"/>
  <c r="X12" i="131"/>
  <c r="K236" i="114"/>
  <c r="Q236" i="114" s="1"/>
  <c r="M1097" i="131"/>
  <c r="M2289" i="131"/>
  <c r="T689" i="131"/>
  <c r="J283" i="131"/>
  <c r="J2470" i="131" s="1"/>
  <c r="X1097" i="131"/>
  <c r="U2464" i="131"/>
  <c r="L73" i="114"/>
  <c r="X1726" i="131"/>
  <c r="M246" i="114"/>
  <c r="S2483" i="131"/>
  <c r="H412" i="114"/>
  <c r="I412" i="114" s="1"/>
  <c r="X180" i="131"/>
  <c r="K73" i="131"/>
  <c r="M73" i="131" s="1"/>
  <c r="M166" i="114"/>
  <c r="L2428" i="131"/>
  <c r="H32" i="36" s="1"/>
  <c r="M1411" i="131"/>
  <c r="X1411" i="131"/>
  <c r="W689" i="131"/>
  <c r="I1409" i="131"/>
  <c r="K1409" i="131" s="1"/>
  <c r="K1410" i="131"/>
  <c r="V2366" i="131"/>
  <c r="V2405" i="131" s="1"/>
  <c r="K2394" i="131"/>
  <c r="L2381" i="131"/>
  <c r="M690" i="131"/>
  <c r="X690" i="131"/>
  <c r="K689" i="131"/>
  <c r="M1768" i="131"/>
  <c r="X1768" i="131"/>
  <c r="G41" i="36"/>
  <c r="R2463" i="131"/>
  <c r="R2480" i="131" s="1"/>
  <c r="G42" i="36"/>
  <c r="X758" i="131"/>
  <c r="M2266" i="131"/>
  <c r="X2266" i="131"/>
  <c r="S2366" i="131"/>
  <c r="S2367" i="131" s="1"/>
  <c r="M2225" i="131"/>
  <c r="K2265" i="131"/>
  <c r="I2264" i="131"/>
  <c r="W2264" i="131" s="1"/>
  <c r="W2265" i="131"/>
  <c r="I2446" i="131"/>
  <c r="N2472" i="131"/>
  <c r="N2366" i="131"/>
  <c r="I380" i="114"/>
  <c r="O380" i="114" s="1"/>
  <c r="M383" i="114"/>
  <c r="M380" i="114" s="1"/>
  <c r="M1522" i="131"/>
  <c r="K2443" i="131"/>
  <c r="K2444" i="131" s="1"/>
  <c r="X1522" i="131"/>
  <c r="W1521" i="131"/>
  <c r="T1521" i="131"/>
  <c r="K1521" i="131"/>
  <c r="M1521" i="131" s="1"/>
  <c r="G2444" i="131"/>
  <c r="C47" i="36"/>
  <c r="W534" i="131"/>
  <c r="X534" i="131" s="1"/>
  <c r="M74" i="131"/>
  <c r="N148" i="114"/>
  <c r="L148" i="114"/>
  <c r="G2403" i="131"/>
  <c r="G2406" i="131" s="1"/>
  <c r="M2404" i="131" s="1"/>
  <c r="H2460" i="131"/>
  <c r="D68" i="36" s="1"/>
  <c r="M1288" i="131"/>
  <c r="J236" i="114"/>
  <c r="P236" i="114" s="1"/>
  <c r="G565" i="131"/>
  <c r="G526" i="131" s="1"/>
  <c r="G2472" i="131" s="1"/>
  <c r="T534" i="131"/>
  <c r="I48" i="114"/>
  <c r="O48" i="114" s="1"/>
  <c r="K151" i="114"/>
  <c r="Q151" i="114" s="1"/>
  <c r="M73" i="114"/>
  <c r="M157" i="114"/>
  <c r="M286" i="131"/>
  <c r="G72" i="131"/>
  <c r="G2469" i="131" s="1"/>
  <c r="J376" i="114"/>
  <c r="L377" i="114"/>
  <c r="G12" i="36"/>
  <c r="I2426" i="131"/>
  <c r="E30" i="36" s="1"/>
  <c r="W2036" i="131"/>
  <c r="K2036" i="131"/>
  <c r="K2386" i="131"/>
  <c r="I2035" i="131"/>
  <c r="X74" i="131"/>
  <c r="H1717" i="131"/>
  <c r="L1717" i="131" s="1"/>
  <c r="H2456" i="131"/>
  <c r="L1718" i="131"/>
  <c r="L2456" i="131" s="1"/>
  <c r="M317" i="114"/>
  <c r="Q317" i="114"/>
  <c r="J2446" i="131"/>
  <c r="F51" i="36" s="1"/>
  <c r="F48" i="36" s="1"/>
  <c r="M758" i="131"/>
  <c r="I236" i="114"/>
  <c r="O236" i="114" s="1"/>
  <c r="L1535" i="131"/>
  <c r="K108" i="114"/>
  <c r="Q108" i="114" s="1"/>
  <c r="X489" i="131"/>
  <c r="T747" i="131"/>
  <c r="W747" i="131"/>
  <c r="I746" i="131"/>
  <c r="K747" i="131"/>
  <c r="M747" i="131" s="1"/>
  <c r="I2382" i="131"/>
  <c r="L128" i="114"/>
  <c r="J108" i="114"/>
  <c r="X2037" i="131"/>
  <c r="K2399" i="131"/>
  <c r="R2474" i="131"/>
  <c r="R2366" i="131"/>
  <c r="H1409" i="131"/>
  <c r="L1410" i="131"/>
  <c r="M611" i="131"/>
  <c r="X611" i="131"/>
  <c r="X2174" i="131"/>
  <c r="X1536" i="131"/>
  <c r="H47" i="36"/>
  <c r="H46" i="36" s="1"/>
  <c r="I2436" i="131"/>
  <c r="E40" i="36" s="1"/>
  <c r="T1063" i="131"/>
  <c r="W1063" i="131"/>
  <c r="K1063" i="131"/>
  <c r="G49" i="36"/>
  <c r="D32" i="36"/>
  <c r="D29" i="36" s="1"/>
  <c r="H2430" i="131"/>
  <c r="L2394" i="131"/>
  <c r="M1064" i="131"/>
  <c r="X1064" i="131"/>
  <c r="L1073" i="131"/>
  <c r="L2437" i="131" s="1"/>
  <c r="H2437" i="131"/>
  <c r="D41" i="36" s="1"/>
  <c r="G24" i="36"/>
  <c r="X2225" i="131"/>
  <c r="I2453" i="131"/>
  <c r="E56" i="36"/>
  <c r="E54" i="36" s="1"/>
  <c r="L689" i="131"/>
  <c r="L2441" i="131" s="1"/>
  <c r="J2441" i="131"/>
  <c r="F45" i="36" s="1"/>
  <c r="N48" i="114"/>
  <c r="H414" i="114"/>
  <c r="I414" i="114" s="1"/>
  <c r="M278" i="131"/>
  <c r="X278" i="131"/>
  <c r="G2458" i="131"/>
  <c r="T1725" i="131"/>
  <c r="W1725" i="131"/>
  <c r="K1725" i="131"/>
  <c r="G1724" i="131"/>
  <c r="G1669" i="131" s="1"/>
  <c r="G2475" i="131" s="1"/>
  <c r="X286" i="131"/>
  <c r="G19" i="36"/>
  <c r="K2418" i="131"/>
  <c r="X1738" i="131"/>
  <c r="W224" i="131"/>
  <c r="K224" i="131"/>
  <c r="G2471" i="131"/>
  <c r="T224" i="131"/>
  <c r="M1726" i="131"/>
  <c r="T210" i="131"/>
  <c r="K210" i="131"/>
  <c r="W210" i="131"/>
  <c r="M211" i="131"/>
  <c r="X211" i="131"/>
  <c r="W285" i="131"/>
  <c r="G284" i="131"/>
  <c r="G283" i="131" s="1"/>
  <c r="K285" i="131"/>
  <c r="T285" i="131"/>
  <c r="G2414" i="131"/>
  <c r="M1738" i="131"/>
  <c r="O180" i="114"/>
  <c r="L747" i="131"/>
  <c r="J746" i="131"/>
  <c r="K1737" i="131"/>
  <c r="T1737" i="131"/>
  <c r="W1737" i="131"/>
  <c r="G2460" i="131"/>
  <c r="C68" i="36" s="1"/>
  <c r="L68" i="36" s="1"/>
  <c r="X1583" i="131"/>
  <c r="M2136" i="131"/>
  <c r="X488" i="131"/>
  <c r="H30" i="36"/>
  <c r="Q376" i="114"/>
  <c r="M376" i="114"/>
  <c r="H2459" i="131"/>
  <c r="L1731" i="131"/>
  <c r="L2459" i="131" s="1"/>
  <c r="H1724" i="131"/>
  <c r="L2265" i="131"/>
  <c r="H2264" i="131"/>
  <c r="H2210" i="131" s="1"/>
  <c r="H2477" i="131" s="1"/>
  <c r="H2446" i="131"/>
  <c r="O139" i="114"/>
  <c r="M139" i="114"/>
  <c r="K2450" i="131"/>
  <c r="G56" i="36" s="1"/>
  <c r="G14" i="36"/>
  <c r="I151" i="114"/>
  <c r="O151" i="114" s="1"/>
  <c r="M2174" i="131"/>
  <c r="F30" i="36"/>
  <c r="F29" i="36" s="1"/>
  <c r="J2430" i="131"/>
  <c r="G1530" i="131"/>
  <c r="K1535" i="131"/>
  <c r="M1535" i="131" s="1"/>
  <c r="T1535" i="131"/>
  <c r="W1535" i="131"/>
  <c r="G2446" i="131"/>
  <c r="C51" i="36" s="1"/>
  <c r="L51" i="36" s="1"/>
  <c r="G35" i="36"/>
  <c r="G34" i="36" s="1"/>
  <c r="K2432" i="131"/>
  <c r="G53" i="36"/>
  <c r="G9" i="36"/>
  <c r="H13" i="36"/>
  <c r="C29" i="36"/>
  <c r="L29" i="36" s="1"/>
  <c r="P139" i="114"/>
  <c r="L139" i="114"/>
  <c r="W2173" i="131"/>
  <c r="T2173" i="131"/>
  <c r="K2173" i="131"/>
  <c r="K2423" i="131"/>
  <c r="X1889" i="131"/>
  <c r="M1889" i="131"/>
  <c r="K2383" i="131"/>
  <c r="X365" i="131"/>
  <c r="L317" i="114"/>
  <c r="P317" i="114"/>
  <c r="H27" i="36"/>
  <c r="M107" i="114"/>
  <c r="M105" i="114" s="1"/>
  <c r="M102" i="114" s="1"/>
  <c r="G2430" i="131"/>
  <c r="L1869" i="131"/>
  <c r="L2422" i="131" s="1"/>
  <c r="J2422" i="131"/>
  <c r="J1812" i="131"/>
  <c r="J224" i="131"/>
  <c r="L225" i="131"/>
  <c r="J2210" i="131"/>
  <c r="T1582" i="131"/>
  <c r="W1582" i="131"/>
  <c r="K1582" i="131"/>
  <c r="H57" i="36"/>
  <c r="L2451" i="131"/>
  <c r="H534" i="131"/>
  <c r="L535" i="131"/>
  <c r="L2435" i="131" s="1"/>
  <c r="H2435" i="131"/>
  <c r="D39" i="36" s="1"/>
  <c r="J2382" i="131"/>
  <c r="Q73" i="114" s="1"/>
  <c r="J566" i="131"/>
  <c r="L567" i="131"/>
  <c r="J311" i="114"/>
  <c r="L314" i="114"/>
  <c r="I2434" i="131"/>
  <c r="E38" i="36" s="1"/>
  <c r="I804" i="131"/>
  <c r="I803" i="131" s="1"/>
  <c r="I2473" i="131" s="1"/>
  <c r="L365" i="131"/>
  <c r="L2383" i="131" s="1"/>
  <c r="H2383" i="131"/>
  <c r="O102" i="114" s="1"/>
  <c r="H364" i="131"/>
  <c r="K1463" i="131"/>
  <c r="K2428" i="131" s="1"/>
  <c r="I2428" i="131"/>
  <c r="E32" i="36" s="1"/>
  <c r="X2059" i="131"/>
  <c r="L1063" i="131"/>
  <c r="L2436" i="131" s="1"/>
  <c r="J2436" i="131"/>
  <c r="F40" i="36" s="1"/>
  <c r="K2224" i="131"/>
  <c r="M2224" i="131" s="1"/>
  <c r="W2224" i="131"/>
  <c r="M1583" i="131"/>
  <c r="M1482" i="131"/>
  <c r="J1616" i="131"/>
  <c r="L1617" i="131"/>
  <c r="H1767" i="131"/>
  <c r="H2476" i="131" s="1"/>
  <c r="H151" i="114"/>
  <c r="L151" i="114" s="1"/>
  <c r="N23" i="114"/>
  <c r="L23" i="114"/>
  <c r="W884" i="131"/>
  <c r="K884" i="131"/>
  <c r="G2434" i="131"/>
  <c r="T884" i="131"/>
  <c r="E45" i="36"/>
  <c r="E43" i="36" s="1"/>
  <c r="I2442" i="131"/>
  <c r="K1423" i="131"/>
  <c r="M1423" i="131" s="1"/>
  <c r="K1717" i="131"/>
  <c r="T1717" i="131"/>
  <c r="W1717" i="131"/>
  <c r="X1869" i="131"/>
  <c r="W566" i="131"/>
  <c r="G2440" i="131"/>
  <c r="E31" i="36"/>
  <c r="K566" i="131"/>
  <c r="M566" i="131" s="1"/>
  <c r="K2374" i="131"/>
  <c r="G804" i="131"/>
  <c r="H108" i="114"/>
  <c r="X1718" i="131"/>
  <c r="K2456" i="131"/>
  <c r="G2457" i="131"/>
  <c r="C64" i="36"/>
  <c r="X1220" i="131"/>
  <c r="G1767" i="131"/>
  <c r="M897" i="131"/>
  <c r="X897" i="131"/>
  <c r="K2421" i="131"/>
  <c r="X1820" i="131"/>
  <c r="M1432" i="131"/>
  <c r="X1432" i="131"/>
  <c r="K2427" i="131"/>
  <c r="K2422" i="131"/>
  <c r="G26" i="36" s="1"/>
  <c r="M1869" i="131"/>
  <c r="M23" i="114"/>
  <c r="O23" i="114"/>
  <c r="L48" i="114"/>
  <c r="J414" i="114"/>
  <c r="K414" i="114" s="1"/>
  <c r="I2411" i="131"/>
  <c r="W1671" i="131"/>
  <c r="T1671" i="131"/>
  <c r="I1670" i="131"/>
  <c r="K2381" i="131"/>
  <c r="X1672" i="131"/>
  <c r="L2386" i="131"/>
  <c r="H2414" i="131"/>
  <c r="H284" i="131"/>
  <c r="L285" i="131"/>
  <c r="L2414" i="131" s="1"/>
  <c r="E39" i="36"/>
  <c r="J804" i="131"/>
  <c r="J803" i="131" s="1"/>
  <c r="J2434" i="131"/>
  <c r="L884" i="131"/>
  <c r="L2434" i="131" s="1"/>
  <c r="X1015" i="131"/>
  <c r="L246" i="114"/>
  <c r="J2435" i="131"/>
  <c r="F39" i="36" s="1"/>
  <c r="H87" i="131"/>
  <c r="L88" i="131"/>
  <c r="X2325" i="131"/>
  <c r="K2384" i="131"/>
  <c r="W2324" i="131"/>
  <c r="G2451" i="131"/>
  <c r="G2453" i="131" s="1"/>
  <c r="C57" i="36"/>
  <c r="C54" i="36" s="1"/>
  <c r="L54" i="36" s="1"/>
  <c r="K2324" i="131"/>
  <c r="G2288" i="131"/>
  <c r="L56" i="36"/>
  <c r="C52" i="36"/>
  <c r="G15" i="36"/>
  <c r="X1232" i="131"/>
  <c r="M1232" i="131"/>
  <c r="H803" i="131"/>
  <c r="D37" i="36"/>
  <c r="X805" i="131"/>
  <c r="K2433" i="131"/>
  <c r="M805" i="131"/>
  <c r="G39" i="36"/>
  <c r="L39" i="36"/>
  <c r="C28" i="36"/>
  <c r="G2425" i="131"/>
  <c r="W357" i="131"/>
  <c r="T357" i="131"/>
  <c r="H8" i="1"/>
  <c r="N8" i="1"/>
  <c r="J5" i="1"/>
  <c r="E7" i="1"/>
  <c r="AJ315" i="1"/>
  <c r="AK315" i="1" s="1"/>
  <c r="AK7" i="1"/>
  <c r="U2368" i="131"/>
  <c r="U2373" i="131"/>
  <c r="U2405" i="131"/>
  <c r="J2475" i="131"/>
  <c r="T1812" i="131" l="1"/>
  <c r="K1812" i="131"/>
  <c r="I1767" i="131"/>
  <c r="K1767" i="131" s="1"/>
  <c r="I1231" i="131"/>
  <c r="I2474" i="131" s="1"/>
  <c r="L2453" i="131"/>
  <c r="K2468" i="131"/>
  <c r="X11" i="131"/>
  <c r="H2453" i="131"/>
  <c r="H56" i="36"/>
  <c r="H54" i="36" s="1"/>
  <c r="M364" i="131"/>
  <c r="V2464" i="131"/>
  <c r="L804" i="131"/>
  <c r="K357" i="131"/>
  <c r="M357" i="131" s="1"/>
  <c r="L2430" i="131"/>
  <c r="L236" i="114"/>
  <c r="N236" i="114"/>
  <c r="V2367" i="131"/>
  <c r="I2425" i="131"/>
  <c r="K2424" i="131"/>
  <c r="G28" i="36" s="1"/>
  <c r="J413" i="114"/>
  <c r="K413" i="114" s="1"/>
  <c r="M151" i="114"/>
  <c r="X73" i="131"/>
  <c r="K72" i="131"/>
  <c r="K2469" i="131" s="1"/>
  <c r="M48" i="114"/>
  <c r="G2449" i="131"/>
  <c r="K2035" i="131"/>
  <c r="H407" i="114"/>
  <c r="L2382" i="131"/>
  <c r="K565" i="131"/>
  <c r="M565" i="131" s="1"/>
  <c r="R2464" i="131"/>
  <c r="I2210" i="131"/>
  <c r="I2477" i="131" s="1"/>
  <c r="N151" i="114"/>
  <c r="W72" i="131"/>
  <c r="K2264" i="131"/>
  <c r="M2264" i="131" s="1"/>
  <c r="I2439" i="131"/>
  <c r="T804" i="131"/>
  <c r="T565" i="131"/>
  <c r="J406" i="114"/>
  <c r="W565" i="131"/>
  <c r="L2446" i="131"/>
  <c r="L2449" i="131" s="1"/>
  <c r="M689" i="131"/>
  <c r="K2441" i="131"/>
  <c r="X689" i="131"/>
  <c r="L2264" i="131"/>
  <c r="S2405" i="131"/>
  <c r="H2461" i="131"/>
  <c r="M2265" i="131"/>
  <c r="X2265" i="131"/>
  <c r="S2464" i="131"/>
  <c r="X1521" i="131"/>
  <c r="I2449" i="131"/>
  <c r="E51" i="36"/>
  <c r="E48" i="36" s="1"/>
  <c r="R2373" i="131"/>
  <c r="E36" i="36"/>
  <c r="I2430" i="131"/>
  <c r="G803" i="131"/>
  <c r="G2473" i="131" s="1"/>
  <c r="E29" i="36"/>
  <c r="L2439" i="131"/>
  <c r="N2464" i="131"/>
  <c r="N2405" i="131"/>
  <c r="N2373" i="131"/>
  <c r="N2370" i="131"/>
  <c r="N2368" i="131"/>
  <c r="R2405" i="131"/>
  <c r="C46" i="36"/>
  <c r="G47" i="36"/>
  <c r="G46" i="36" s="1"/>
  <c r="W2035" i="131"/>
  <c r="T2035" i="131"/>
  <c r="W804" i="131"/>
  <c r="K804" i="131"/>
  <c r="L2374" i="131"/>
  <c r="H29" i="36"/>
  <c r="M236" i="114"/>
  <c r="K406" i="114"/>
  <c r="M108" i="114"/>
  <c r="I745" i="131"/>
  <c r="K746" i="131"/>
  <c r="K2460" i="131" s="1"/>
  <c r="W746" i="131"/>
  <c r="I2460" i="131"/>
  <c r="T746" i="131"/>
  <c r="M746" i="131"/>
  <c r="D64" i="36"/>
  <c r="D63" i="36" s="1"/>
  <c r="H2457" i="131"/>
  <c r="J2449" i="131"/>
  <c r="X2036" i="131"/>
  <c r="K2426" i="131"/>
  <c r="M2036" i="131"/>
  <c r="P73" i="114"/>
  <c r="I2403" i="131"/>
  <c r="P108" i="114"/>
  <c r="J411" i="114"/>
  <c r="K411" i="114" s="1"/>
  <c r="X747" i="131"/>
  <c r="K2382" i="131"/>
  <c r="K2403" i="131" s="1"/>
  <c r="H64" i="36"/>
  <c r="H63" i="36" s="1"/>
  <c r="L2457" i="131"/>
  <c r="P376" i="114"/>
  <c r="T376" i="114" s="1"/>
  <c r="L376" i="114"/>
  <c r="L1409" i="131"/>
  <c r="H1231" i="131"/>
  <c r="H2474" i="131" s="1"/>
  <c r="H41" i="36"/>
  <c r="M1063" i="131"/>
  <c r="X1063" i="131"/>
  <c r="K2436" i="131"/>
  <c r="H2439" i="131"/>
  <c r="D36" i="36"/>
  <c r="H45" i="36"/>
  <c r="X1737" i="131"/>
  <c r="M224" i="131"/>
  <c r="K2471" i="131"/>
  <c r="X224" i="131"/>
  <c r="M1725" i="131"/>
  <c r="X1725" i="131"/>
  <c r="K2458" i="131"/>
  <c r="X1582" i="131"/>
  <c r="J2460" i="131"/>
  <c r="J745" i="131"/>
  <c r="L745" i="131" s="1"/>
  <c r="L746" i="131"/>
  <c r="L2460" i="131" s="1"/>
  <c r="X285" i="131"/>
  <c r="K2414" i="131"/>
  <c r="M1737" i="131"/>
  <c r="C16" i="36"/>
  <c r="G2415" i="131"/>
  <c r="T284" i="131"/>
  <c r="W284" i="131"/>
  <c r="K284" i="131"/>
  <c r="X2173" i="131"/>
  <c r="M285" i="131"/>
  <c r="X210" i="131"/>
  <c r="M210" i="131"/>
  <c r="K1724" i="131"/>
  <c r="M1724" i="131" s="1"/>
  <c r="W1724" i="131"/>
  <c r="T1724" i="131"/>
  <c r="C66" i="36"/>
  <c r="G2461" i="131"/>
  <c r="W1530" i="131"/>
  <c r="T1530" i="131"/>
  <c r="G1231" i="131"/>
  <c r="K1530" i="131"/>
  <c r="M1530" i="131" s="1"/>
  <c r="L1724" i="131"/>
  <c r="H1669" i="131"/>
  <c r="D67" i="36"/>
  <c r="H67" i="36" s="1"/>
  <c r="K2440" i="131"/>
  <c r="X1535" i="131"/>
  <c r="K2446" i="131"/>
  <c r="D51" i="36"/>
  <c r="D48" i="36" s="1"/>
  <c r="H2449" i="131"/>
  <c r="H40" i="36"/>
  <c r="H357" i="131"/>
  <c r="H283" i="131" s="1"/>
  <c r="H2424" i="131"/>
  <c r="D28" i="36" s="1"/>
  <c r="L364" i="131"/>
  <c r="J2440" i="131"/>
  <c r="L566" i="131"/>
  <c r="L2440" i="131" s="1"/>
  <c r="J565" i="131"/>
  <c r="H526" i="131"/>
  <c r="H2472" i="131" s="1"/>
  <c r="L534" i="131"/>
  <c r="H26" i="36"/>
  <c r="G32" i="36"/>
  <c r="J2471" i="131"/>
  <c r="L224" i="131"/>
  <c r="X2224" i="131"/>
  <c r="L311" i="114"/>
  <c r="J412" i="114"/>
  <c r="K412" i="114" s="1"/>
  <c r="M1582" i="131"/>
  <c r="L1812" i="131"/>
  <c r="J1767" i="131"/>
  <c r="L1616" i="131"/>
  <c r="J1231" i="131"/>
  <c r="J2477" i="131"/>
  <c r="L2210" i="131"/>
  <c r="F26" i="36"/>
  <c r="F22" i="36" s="1"/>
  <c r="J2425" i="131"/>
  <c r="P311" i="114"/>
  <c r="G27" i="36"/>
  <c r="M2173" i="131"/>
  <c r="J2403" i="131"/>
  <c r="K407" i="114" s="1"/>
  <c r="G31" i="36"/>
  <c r="G25" i="36"/>
  <c r="M884" i="131"/>
  <c r="K2434" i="131"/>
  <c r="X884" i="131"/>
  <c r="T1767" i="131"/>
  <c r="L64" i="36"/>
  <c r="C63" i="36"/>
  <c r="L63" i="36" s="1"/>
  <c r="H411" i="114"/>
  <c r="H406" i="114"/>
  <c r="N108" i="114"/>
  <c r="X566" i="131"/>
  <c r="C44" i="36"/>
  <c r="G2442" i="131"/>
  <c r="L108" i="114"/>
  <c r="M1812" i="131"/>
  <c r="X1812" i="131"/>
  <c r="W1767" i="131"/>
  <c r="G2476" i="131"/>
  <c r="K2457" i="131"/>
  <c r="G64" i="36"/>
  <c r="G63" i="36" s="1"/>
  <c r="M1717" i="131"/>
  <c r="X1717" i="131"/>
  <c r="C38" i="36"/>
  <c r="G2439" i="131"/>
  <c r="M1671" i="131"/>
  <c r="X1671" i="131"/>
  <c r="K2411" i="131"/>
  <c r="I1669" i="131"/>
  <c r="K1670" i="131"/>
  <c r="T1670" i="131"/>
  <c r="W1670" i="131"/>
  <c r="E13" i="36"/>
  <c r="E8" i="36" s="1"/>
  <c r="I2415" i="131"/>
  <c r="L87" i="131"/>
  <c r="I66" i="114"/>
  <c r="I65" i="114" s="1"/>
  <c r="I58" i="114" s="1"/>
  <c r="H75" i="131"/>
  <c r="L2415" i="131"/>
  <c r="H16" i="36"/>
  <c r="H8" i="36" s="1"/>
  <c r="H38" i="36"/>
  <c r="L284" i="131"/>
  <c r="F38" i="36"/>
  <c r="F36" i="36" s="1"/>
  <c r="J2439" i="131"/>
  <c r="D16" i="36"/>
  <c r="D8" i="36" s="1"/>
  <c r="H2415" i="131"/>
  <c r="H39" i="36"/>
  <c r="J2473" i="131"/>
  <c r="W2288" i="131"/>
  <c r="K2288" i="131"/>
  <c r="G57" i="36"/>
  <c r="G54" i="36" s="1"/>
  <c r="X2324" i="131"/>
  <c r="K2451" i="131"/>
  <c r="K2453" i="131" s="1"/>
  <c r="G2210" i="131"/>
  <c r="M2324" i="131"/>
  <c r="G52" i="36"/>
  <c r="C48" i="36"/>
  <c r="L48" i="36" s="1"/>
  <c r="H2473" i="131"/>
  <c r="L803" i="131"/>
  <c r="G37" i="36"/>
  <c r="L28" i="36"/>
  <c r="C22" i="36"/>
  <c r="L22" i="36" s="1"/>
  <c r="G2470" i="131"/>
  <c r="W283" i="131"/>
  <c r="K283" i="131"/>
  <c r="T283" i="131"/>
  <c r="H9" i="1"/>
  <c r="L7" i="1"/>
  <c r="H11" i="1"/>
  <c r="N7" i="1"/>
  <c r="H13" i="1"/>
  <c r="E315" i="1"/>
  <c r="D29" i="39"/>
  <c r="J8" i="1"/>
  <c r="B4" i="273"/>
  <c r="G8" i="1"/>
  <c r="H5" i="1"/>
  <c r="G4" i="1"/>
  <c r="J4" i="1"/>
  <c r="H10" i="1"/>
  <c r="I2476" i="131" l="1"/>
  <c r="X2035" i="131"/>
  <c r="H51" i="36"/>
  <c r="H48" i="36" s="1"/>
  <c r="M72" i="131"/>
  <c r="X357" i="131"/>
  <c r="M2035" i="131"/>
  <c r="K2425" i="131"/>
  <c r="X72" i="131"/>
  <c r="T803" i="131"/>
  <c r="X565" i="131"/>
  <c r="X2264" i="131"/>
  <c r="K2442" i="131"/>
  <c r="K408" i="114"/>
  <c r="X804" i="131"/>
  <c r="G45" i="36"/>
  <c r="M804" i="131"/>
  <c r="W803" i="131"/>
  <c r="K803" i="131"/>
  <c r="K2473" i="131" s="1"/>
  <c r="G30" i="36"/>
  <c r="G29" i="36" s="1"/>
  <c r="L406" i="114"/>
  <c r="K2430" i="131"/>
  <c r="I2406" i="131"/>
  <c r="J407" i="114"/>
  <c r="J408" i="114" s="1"/>
  <c r="J409" i="114" s="1"/>
  <c r="I2461" i="131"/>
  <c r="I2463" i="131" s="1"/>
  <c r="E68" i="36"/>
  <c r="E65" i="36" s="1"/>
  <c r="E69" i="36" s="1"/>
  <c r="B7" i="273" s="1"/>
  <c r="L7" i="273" s="1"/>
  <c r="X746" i="131"/>
  <c r="N406" i="114"/>
  <c r="K745" i="131"/>
  <c r="T745" i="131"/>
  <c r="W745" i="131"/>
  <c r="I526" i="131"/>
  <c r="I2366" i="131" s="1"/>
  <c r="M745" i="131"/>
  <c r="G40" i="36"/>
  <c r="H68" i="36"/>
  <c r="H65" i="36" s="1"/>
  <c r="L2461" i="131"/>
  <c r="G66" i="36"/>
  <c r="K2461" i="131"/>
  <c r="L66" i="36"/>
  <c r="C65" i="36"/>
  <c r="L65" i="36" s="1"/>
  <c r="X1724" i="131"/>
  <c r="G16" i="36"/>
  <c r="J2461" i="131"/>
  <c r="F68" i="36"/>
  <c r="F65" i="36" s="1"/>
  <c r="G68" i="36"/>
  <c r="M284" i="131"/>
  <c r="X284" i="131"/>
  <c r="L16" i="36"/>
  <c r="N16" i="36"/>
  <c r="C8" i="36"/>
  <c r="L8" i="36" s="1"/>
  <c r="W1231" i="131"/>
  <c r="T1231" i="131"/>
  <c r="G2474" i="131"/>
  <c r="K1231" i="131"/>
  <c r="M1231" i="131" s="1"/>
  <c r="G44" i="36"/>
  <c r="H2475" i="131"/>
  <c r="L1669" i="131"/>
  <c r="G22" i="36"/>
  <c r="G2366" i="131"/>
  <c r="P2" i="131" s="1"/>
  <c r="G51" i="36"/>
  <c r="G48" i="36" s="1"/>
  <c r="K2449" i="131"/>
  <c r="X1530" i="131"/>
  <c r="D65" i="36"/>
  <c r="G2463" i="131"/>
  <c r="J2476" i="131"/>
  <c r="L1767" i="131"/>
  <c r="L357" i="131"/>
  <c r="L2424" i="131"/>
  <c r="J2474" i="131"/>
  <c r="L1231" i="131"/>
  <c r="L565" i="131"/>
  <c r="J526" i="131"/>
  <c r="H44" i="36"/>
  <c r="H43" i="36" s="1"/>
  <c r="L2442" i="131"/>
  <c r="O406" i="114"/>
  <c r="J2442" i="131"/>
  <c r="F44" i="36"/>
  <c r="F43" i="36" s="1"/>
  <c r="X2288" i="131"/>
  <c r="G38" i="36"/>
  <c r="K2439" i="131"/>
  <c r="H408" i="114"/>
  <c r="H409" i="114" s="1"/>
  <c r="H410" i="114"/>
  <c r="M1767" i="131"/>
  <c r="X1767" i="131"/>
  <c r="K2476" i="131"/>
  <c r="L407" i="114"/>
  <c r="L410" i="114"/>
  <c r="L38" i="36"/>
  <c r="C36" i="36"/>
  <c r="L44" i="36"/>
  <c r="C43" i="36"/>
  <c r="I411" i="114"/>
  <c r="H415" i="114"/>
  <c r="H416" i="114" s="1"/>
  <c r="K2406" i="131"/>
  <c r="H36" i="36"/>
  <c r="M1670" i="131"/>
  <c r="X1670" i="131"/>
  <c r="G13" i="36"/>
  <c r="K2415" i="131"/>
  <c r="I2475" i="131"/>
  <c r="W1669" i="131"/>
  <c r="T1669" i="131"/>
  <c r="K1669" i="131"/>
  <c r="L75" i="131"/>
  <c r="M66" i="114"/>
  <c r="M65" i="114" s="1"/>
  <c r="M58" i="114" s="1"/>
  <c r="M406" i="114" s="1"/>
  <c r="H2470" i="131"/>
  <c r="L283" i="131"/>
  <c r="H2385" i="131"/>
  <c r="H2403" i="131" s="1"/>
  <c r="I407" i="114" s="1"/>
  <c r="H74" i="131"/>
  <c r="I406" i="114"/>
  <c r="M410" i="114" s="1"/>
  <c r="K2210" i="131"/>
  <c r="M2210" i="131" s="1"/>
  <c r="G2477" i="131"/>
  <c r="W2210" i="131"/>
  <c r="M2288" i="131"/>
  <c r="M283" i="131"/>
  <c r="X283" i="131"/>
  <c r="K2470" i="131"/>
  <c r="E29" i="39"/>
  <c r="E28" i="39" s="1"/>
  <c r="E27" i="39" s="1"/>
  <c r="E26" i="39" s="1"/>
  <c r="D28" i="39"/>
  <c r="D27" i="39" s="1"/>
  <c r="D26" i="39" s="1"/>
  <c r="L4" i="273"/>
  <c r="B5" i="273"/>
  <c r="R2367" i="131"/>
  <c r="R2368" i="131" s="1"/>
  <c r="R2483" i="131" s="1"/>
  <c r="D7" i="273"/>
  <c r="M2403" i="131" l="1"/>
  <c r="X803" i="131"/>
  <c r="G2373" i="131"/>
  <c r="M1" i="131"/>
  <c r="G43" i="36"/>
  <c r="M803" i="131"/>
  <c r="J2463" i="131"/>
  <c r="G36" i="36"/>
  <c r="L408" i="114"/>
  <c r="I2472" i="131"/>
  <c r="W526" i="131"/>
  <c r="T526" i="131"/>
  <c r="K526" i="131"/>
  <c r="E70" i="36"/>
  <c r="P2404" i="131"/>
  <c r="P2403" i="131"/>
  <c r="P2483" i="131" s="1"/>
  <c r="D34" i="39"/>
  <c r="D32" i="39" s="1"/>
  <c r="D31" i="39" s="1"/>
  <c r="D30" i="39" s="1"/>
  <c r="I2479" i="131"/>
  <c r="I2480" i="131" s="1"/>
  <c r="F69" i="36"/>
  <c r="X745" i="131"/>
  <c r="K2463" i="131"/>
  <c r="G65" i="36"/>
  <c r="X1231" i="131"/>
  <c r="K2474" i="131"/>
  <c r="G2405" i="131"/>
  <c r="G2367" i="131"/>
  <c r="G2368" i="131" s="1"/>
  <c r="Q2364" i="131"/>
  <c r="G2479" i="131"/>
  <c r="G2480" i="131" s="1"/>
  <c r="T2398" i="131"/>
  <c r="G2464" i="131"/>
  <c r="K2366" i="131"/>
  <c r="M2366" i="131" s="1"/>
  <c r="L526" i="131"/>
  <c r="J2472" i="131"/>
  <c r="J2479" i="131" s="1"/>
  <c r="J2366" i="131"/>
  <c r="H28" i="36"/>
  <c r="I2464" i="131"/>
  <c r="K2477" i="131"/>
  <c r="X2210" i="131"/>
  <c r="T2366" i="131"/>
  <c r="C69" i="36"/>
  <c r="L43" i="36"/>
  <c r="O58" i="114"/>
  <c r="L36" i="36"/>
  <c r="C75" i="36"/>
  <c r="T2375" i="131"/>
  <c r="P2374" i="131"/>
  <c r="P2368" i="131"/>
  <c r="A2369" i="131"/>
  <c r="I2405" i="131"/>
  <c r="I2373" i="131"/>
  <c r="M1669" i="131"/>
  <c r="K2475" i="131"/>
  <c r="X1669" i="131"/>
  <c r="W2366" i="131"/>
  <c r="G8" i="36"/>
  <c r="J13" i="36" s="1"/>
  <c r="E74" i="36"/>
  <c r="I408" i="114"/>
  <c r="H73" i="131"/>
  <c r="H72" i="131" s="1"/>
  <c r="H2420" i="131"/>
  <c r="L2385" i="131"/>
  <c r="L2403" i="131" s="1"/>
  <c r="L74" i="131"/>
  <c r="B9" i="273"/>
  <c r="L5" i="273"/>
  <c r="C7" i="273"/>
  <c r="N7" i="273"/>
  <c r="D9" i="273"/>
  <c r="G2483" i="131" l="1"/>
  <c r="C76" i="36"/>
  <c r="J2480" i="131"/>
  <c r="D25" i="39"/>
  <c r="D40" i="39" s="1"/>
  <c r="E71" i="36" s="1"/>
  <c r="E72" i="36" s="1"/>
  <c r="K2472" i="131"/>
  <c r="K2479" i="131" s="1"/>
  <c r="K2480" i="131" s="1"/>
  <c r="X526" i="131"/>
  <c r="K2464" i="131"/>
  <c r="K2373" i="131"/>
  <c r="M526" i="131"/>
  <c r="K2405" i="131"/>
  <c r="K2368" i="131"/>
  <c r="X2366" i="131"/>
  <c r="J2368" i="131"/>
  <c r="K2377" i="131"/>
  <c r="K2483" i="131" s="1"/>
  <c r="J2464" i="131"/>
  <c r="J2405" i="131"/>
  <c r="F74" i="36"/>
  <c r="C34" i="39"/>
  <c r="C74" i="36"/>
  <c r="C70" i="36"/>
  <c r="G70" i="36" s="1"/>
  <c r="G72" i="36" s="1"/>
  <c r="J16" i="36"/>
  <c r="J10" i="36"/>
  <c r="J11" i="36"/>
  <c r="J9" i="36"/>
  <c r="J12" i="36"/>
  <c r="G69" i="36"/>
  <c r="G74" i="36" s="1"/>
  <c r="L2420" i="131"/>
  <c r="L73" i="131"/>
  <c r="L72" i="131" s="1"/>
  <c r="M407" i="114"/>
  <c r="M408" i="114" s="1"/>
  <c r="D24" i="36"/>
  <c r="D22" i="36" s="1"/>
  <c r="D69" i="36" s="1"/>
  <c r="H2425" i="131"/>
  <c r="H2463" i="131" s="1"/>
  <c r="H2469" i="131"/>
  <c r="H2479" i="131" s="1"/>
  <c r="H2366" i="131"/>
  <c r="L9" i="273"/>
  <c r="L16" i="273" s="1"/>
  <c r="B15" i="273"/>
  <c r="B16" i="273"/>
  <c r="D16" i="273"/>
  <c r="D19" i="273" s="1"/>
  <c r="N9" i="273"/>
  <c r="N16" i="273" s="1"/>
  <c r="N22" i="273" s="1"/>
  <c r="M7" i="273"/>
  <c r="C9" i="273"/>
  <c r="D13" i="39" l="1"/>
  <c r="I2367" i="131"/>
  <c r="I2368" i="131" s="1"/>
  <c r="I2483" i="131" s="1"/>
  <c r="P2484" i="131" s="1"/>
  <c r="P2485" i="131" s="1"/>
  <c r="J2483" i="131"/>
  <c r="C32" i="39"/>
  <c r="C31" i="39" s="1"/>
  <c r="E34" i="39"/>
  <c r="E32" i="39" s="1"/>
  <c r="E31" i="39" s="1"/>
  <c r="H2480" i="131"/>
  <c r="L2366" i="131"/>
  <c r="H2368" i="131"/>
  <c r="H2405" i="131"/>
  <c r="H2464" i="131"/>
  <c r="D74" i="36"/>
  <c r="H24" i="36"/>
  <c r="H22" i="36" s="1"/>
  <c r="H69" i="36" s="1"/>
  <c r="L2425" i="131"/>
  <c r="L2463" i="131" s="1"/>
  <c r="C16" i="273"/>
  <c r="C19" i="273" s="1"/>
  <c r="M9" i="273"/>
  <c r="M16" i="273" s="1"/>
  <c r="M22" i="273" s="1"/>
  <c r="H2483" i="131" l="1"/>
  <c r="H74" i="36"/>
  <c r="E30" i="39"/>
  <c r="E25" i="39"/>
  <c r="C30" i="39"/>
  <c r="C25" i="39"/>
  <c r="L2480" i="131"/>
  <c r="L2464" i="131"/>
  <c r="L2405" i="131"/>
  <c r="L2483" i="131"/>
  <c r="C40" i="39" l="1"/>
  <c r="C13" i="39"/>
  <c r="E13" i="39"/>
  <c r="E40" i="39"/>
  <c r="C71" i="36" l="1"/>
  <c r="C72" i="36" l="1"/>
  <c r="E73" i="36"/>
</calcChain>
</file>

<file path=xl/sharedStrings.xml><?xml version="1.0" encoding="utf-8"?>
<sst xmlns="http://schemas.openxmlformats.org/spreadsheetml/2006/main" count="13203" uniqueCount="2053">
  <si>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</si>
  <si>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Получение кредитов от кредитных организаций  бюджетом муниципального образования в валюте Российской Федерации</t>
  </si>
  <si>
    <r>
      <t>Денежные взыскания (штрафы) за нарушение законодательства о налогах и сборах, предусмотренные статьями 116, 118, 119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пунктами 1 и 2 статьи 120, статьями 125, 126, 128, 129, 129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132, 133, 134, 135, 135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 </t>
    </r>
  </si>
  <si>
    <t>Раз- дел</t>
  </si>
  <si>
    <t>Под-раз- дел</t>
  </si>
  <si>
    <t>Целевая статья</t>
  </si>
  <si>
    <t>Другие вопросы в области здравоохранения</t>
  </si>
  <si>
    <t>957</t>
  </si>
  <si>
    <t>07</t>
  </si>
  <si>
    <t xml:space="preserve">Другие вопросы в области культуры, кинематографии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</si>
  <si>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</si>
  <si>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Прочие межбюджетные трансферты общего характера</t>
  </si>
  <si>
    <t>в том числе:</t>
  </si>
  <si>
    <t>Прочие субсидии бюджетам муниципальных районов</t>
  </si>
  <si>
    <t>на осуществление государственных полномочий по расчету и предоставлению дотаций поселениям</t>
  </si>
  <si>
    <t>на осуществление гос.полномочий по хранению, формированию, учету и использованию архивного фонда РБ</t>
  </si>
  <si>
    <t>Социальное обеспечение населения</t>
  </si>
  <si>
    <t>000  1  16  00000  00  0000  000</t>
  </si>
  <si>
    <t>ШТРАФЫ, САНКЦИИ, ВОЗМЕЩЕНИЕ УЩЕРБА</t>
  </si>
  <si>
    <t>000  1  16  03000  00  0000  140</t>
  </si>
  <si>
    <t>Денежные взыскания (штрафы) за нарушение законодательства о налогах и сборах</t>
  </si>
  <si>
    <t>000  1  16  03010  01  0000  140</t>
  </si>
  <si>
    <t>000  1  16  03030  01  0000  140</t>
  </si>
  <si>
    <t>000  1  16  06000  01  0000  140</t>
  </si>
  <si>
    <t>000  1  16  25000  01  0000  140</t>
  </si>
  <si>
    <t>1003</t>
  </si>
  <si>
    <t>ОВД</t>
  </si>
  <si>
    <t>10</t>
  </si>
  <si>
    <t>11</t>
  </si>
  <si>
    <t>Осуществление государственных полномочий по созданию и организации деятельности административных комиссий</t>
  </si>
  <si>
    <t>обслуживание государственного внутреннего и муниципального долга</t>
  </si>
  <si>
    <t xml:space="preserve">                                 </t>
  </si>
  <si>
    <t>Иные источники внутреннего финансирования дефицитов бюджетов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</si>
  <si>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</si>
  <si>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Расходы на обеспечение деятельности (оказание услуг) учреждений в области физической культуры и спорта</t>
  </si>
  <si>
    <t>Приложение 5</t>
  </si>
  <si>
    <t>Прочие безвозмездные поступления в бюджеты муниципальных районов</t>
  </si>
  <si>
    <t>Плата за негативное воздействие на окружающую среду</t>
  </si>
  <si>
    <t>Расходы на обеспечение функционирования председателя представительного органа муниципального образования</t>
  </si>
  <si>
    <t>Расходы на обеспечение деятельности (оказание услуг) общеобразовательных учреждений</t>
  </si>
  <si>
    <t>Расходы на обеспечение функционирования высшего должностного лица муниципального образования</t>
  </si>
  <si>
    <t>321</t>
  </si>
  <si>
    <t>Пособия, компенсации и иные социальные выплаты гражданам, кроме публичных нормативных обязательств</t>
  </si>
  <si>
    <t>Содержание автомобильных дорог общего пользования местного значения</t>
  </si>
  <si>
    <t>414</t>
  </si>
  <si>
    <t>Расходы на проведение мероприятий для детей и молодежи</t>
  </si>
  <si>
    <t>Расходы на проведение мероприятий в области физической культуры и спорта</t>
  </si>
  <si>
    <t>Расходы на обеспечение функционирования председателя контрольно-счетного органа муниципального образования</t>
  </si>
  <si>
    <t>831</t>
  </si>
  <si>
    <t>Прочие мероприятия, связанные с выполнением обязательств органов местного самоуправления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</si>
  <si>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</si>
  <si>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</si>
  <si>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2 18 00000 00 0000 000</t>
  </si>
  <si>
    <t xml:space="preserve"> 2 19 00000 00 0000 000</t>
  </si>
  <si>
    <t>на 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</si>
  <si>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9990100</t>
  </si>
  <si>
    <t>9990111</t>
  </si>
  <si>
    <t>Меры социальной поддержки отдельных категорий граждан</t>
  </si>
  <si>
    <t>Обеспечение мер социальной поддержки по оплате коммунальных услуг специалистам, проживающим, работающим в сельской местности, рабочих поселках (поселках городского типа), в соответствии с Законом Республики Бурятия от 24 марта 2005 года № 1047-III "Об установлении размера, условий и порядка возмещения расходов, связанных с предоставлением мер социальной поддержки по оплате коммунальных услуг специалистам, проживающим, работающим в сельских населенных пунктах, рабочих поселках (поселках городского типа) на территории Республики Бурятия"</t>
  </si>
  <si>
    <t>9997318</t>
  </si>
  <si>
    <t>Осуществление государственных полномочий по оказанию мер социальной поддержки по оплате коммунальных услуг</t>
  </si>
  <si>
    <t>Финансовое обеспечение получения дошкольного образования в образовательных организациях</t>
  </si>
  <si>
    <t>7827305</t>
  </si>
  <si>
    <t>511</t>
  </si>
  <si>
    <t>9990000</t>
  </si>
  <si>
    <t>Непрограммные расходы</t>
  </si>
  <si>
    <t>Осуществление мероприятий, направленных на уничтожение очагов дикорастущей конопли</t>
  </si>
  <si>
    <t>Организация профилактики преступлений и иных правонарушений в общественных местах</t>
  </si>
  <si>
    <t>Расходы на организацию летнего отдыха детей</t>
  </si>
  <si>
    <t>243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</si>
  <si>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</si>
  <si>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    Закаменское районное финансовое управление</t>
  </si>
  <si>
    <t xml:space="preserve">       Муниципальное казенное учреждение "Отдел культуры муниципального образования "Закаменский район"</t>
  </si>
  <si>
    <t xml:space="preserve">       Администрация муниципального образования "Закаменский район"</t>
  </si>
  <si>
    <t xml:space="preserve">       Муниципальное казенное учреждение "Закаменское районное управление образования"</t>
  </si>
  <si>
    <t xml:space="preserve">       Муниципальное казенное учреждение "Административно-хозяйственный отдел администрации муниципального образования "Закаменский район""</t>
  </si>
  <si>
    <t xml:space="preserve">       Муниципальное казенное учреждение "Комитет по экономическому развитию" муниципального образования "Закаменский район"</t>
  </si>
  <si>
    <t>Телевидение и радиовещание</t>
  </si>
  <si>
    <t>0804</t>
  </si>
  <si>
    <t>0900</t>
  </si>
  <si>
    <t>Социальное обслуживание населения</t>
  </si>
  <si>
    <t>Охрана семьи и детства</t>
  </si>
  <si>
    <t>Другие вопросы в области социальной политики</t>
  </si>
  <si>
    <t>ВСЕГО РАСХОДОВ</t>
  </si>
  <si>
    <t>ДЕФИЦИТ БЮДЖЕТА (-), ПРОФИЦИТ БЮДЖЕТА (+)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</si>
  <si>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</si>
  <si>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</si>
  <si>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</si>
  <si>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</si>
  <si>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000 01 02 00 00 05 0000 710</t>
  </si>
  <si>
    <t>Невыясненные поступления, зачисляемые в бюджеты муниципальных районов</t>
  </si>
  <si>
    <t>Наименование показателя</t>
  </si>
  <si>
    <t>.08</t>
  </si>
  <si>
    <t>Культура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</si>
  <si>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</si>
  <si>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гос.власти субъектов РФ, местных администраций</t>
  </si>
  <si>
    <t>Судебная система</t>
  </si>
  <si>
    <t>Обеспечение проведения выборов и референдумов</t>
  </si>
  <si>
    <t>959</t>
  </si>
  <si>
    <t>000</t>
  </si>
  <si>
    <t>Прочие межбюджетные трансферты, предаваемые бюджетам муниципальных районов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</si>
  <si>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</si>
  <si>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на осуществление отдельных гос.полномочий по регулированию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</si>
  <si>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>на осуществление государственных полномочий по созданию и организации деятельности административных комиссий</t>
  </si>
  <si>
    <t>Таблица поправок по бюджетным ассигнованиям по разделам и подразделам классификации расходов бюджетов на 2008 год</t>
  </si>
  <si>
    <t>Наименование разделов и подразделов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</si>
  <si>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</si>
  <si>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</si>
  <si>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</si>
  <si>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</si>
  <si>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</si>
  <si>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</si>
  <si>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000  1  16  33050  05  0000  140</t>
  </si>
  <si>
    <t>Физическая культура и спорт</t>
  </si>
  <si>
    <t>.0501</t>
  </si>
  <si>
    <t>000  1  16  90050  05  0000  140</t>
  </si>
  <si>
    <t>000  1  17  00000  00  0000  000</t>
  </si>
  <si>
    <t>ПРОЧИЕ НЕНАЛОГОВЫЕ ДОХОДЫ</t>
  </si>
  <si>
    <t>000  1  17  01050  05  0000  180</t>
  </si>
  <si>
    <t>000  1  17  05050  05  0000  180</t>
  </si>
  <si>
    <t>Прочие неналоговые доходы бюджетов муниципальных районов</t>
  </si>
  <si>
    <t>Социальная политика</t>
  </si>
  <si>
    <t>Пенсионное обеспечение</t>
  </si>
  <si>
    <t>612</t>
  </si>
  <si>
    <t>622</t>
  </si>
  <si>
    <t>Субсидии бюджетным учреждениям на иные цели</t>
  </si>
  <si>
    <t>Субсидии автономным учреждениям на иные цели</t>
  </si>
  <si>
    <t>611</t>
  </si>
  <si>
    <t>621</t>
  </si>
  <si>
    <t>121</t>
  </si>
  <si>
    <t>870</t>
  </si>
  <si>
    <t>730</t>
  </si>
  <si>
    <t>540</t>
  </si>
  <si>
    <t>Субсидии бюджетам муниципальных районов на реализацию федеральных целевых программ</t>
  </si>
  <si>
    <t>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</si>
  <si>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</si>
  <si>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Денежные взыскания (штрафы) за административные правонарушения в области дорожного движения</t>
  </si>
  <si>
    <t>Дошкольное образование</t>
  </si>
  <si>
    <t>.000</t>
  </si>
  <si>
    <t>ИТОГО расходов</t>
  </si>
  <si>
    <t>.0102</t>
  </si>
  <si>
    <t>.0103</t>
  </si>
  <si>
    <t>.0104</t>
  </si>
  <si>
    <t>.0105</t>
  </si>
  <si>
    <t>.0106</t>
  </si>
  <si>
    <t>.0302</t>
  </si>
  <si>
    <t>.0309</t>
  </si>
  <si>
    <t>.0405</t>
  </si>
  <si>
    <t>.0406</t>
  </si>
  <si>
    <t>.0409</t>
  </si>
  <si>
    <t>.0412</t>
  </si>
  <si>
    <t>000  1  16  28000  01  0000  140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</si>
  <si>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</si>
  <si>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Благоустройство</t>
  </si>
  <si>
    <t>Охрана окружающей среды</t>
  </si>
  <si>
    <t>Вид рас-ходов</t>
  </si>
  <si>
    <t>Общегосударственные вопросы</t>
  </si>
  <si>
    <t>.01</t>
  </si>
  <si>
    <t>.03</t>
  </si>
  <si>
    <t>0707</t>
  </si>
  <si>
    <t>0709</t>
  </si>
  <si>
    <t>0800</t>
  </si>
  <si>
    <t>2 02 00000 00 0000 000</t>
  </si>
  <si>
    <t>2 00 00000 00 0000 000</t>
  </si>
  <si>
    <t>Иные межбюджетные трансферты</t>
  </si>
  <si>
    <t>аппарат</t>
  </si>
  <si>
    <t xml:space="preserve"> 2 18 05030 05 0000 180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</si>
  <si>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законодательства,водного законодательства</t>
  </si>
  <si>
    <t>000 1 16 25030 01 0000 140</t>
  </si>
  <si>
    <t>Бюджетные кредиты, предоставленные внутри страны в валюте Российской Федерации</t>
  </si>
  <si>
    <t>в том числе за счет средств федерального бюджета</t>
  </si>
  <si>
    <t>усл</t>
  </si>
  <si>
    <t>000 01 03 01 00 05 0000 810</t>
  </si>
  <si>
    <r>
      <t>Погашение  бюджетами муниципальных районов кредитов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 других бюджетов бюджетной системы Российской Федерации в валюте Российской Федерации</t>
    </r>
  </si>
  <si>
    <t>000 01 03 01 00 00 0000 800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</si>
  <si>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</si>
  <si>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 муниципальных районов</t>
  </si>
  <si>
    <t xml:space="preserve">Резервный фонд финансирования непредвиденных расходов </t>
  </si>
  <si>
    <t>Увеличение фонда оплаты труда основного персонала отрасли "культура"</t>
  </si>
  <si>
    <t>к решению Совета депутатов</t>
  </si>
  <si>
    <t>958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</si>
  <si>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</si>
  <si>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960</t>
  </si>
  <si>
    <t>Средства массовой информации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</si>
  <si>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</si>
  <si>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</si>
  <si>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 xml:space="preserve"> 2 07 00000 00 0000 000</t>
  </si>
  <si>
    <t>ПРОЧИЕ БЕЗВОЗМЕЗДНЫЕ ПОСТУПЛЕНИЯ</t>
  </si>
  <si>
    <t>Жилищное хозяйство</t>
  </si>
  <si>
    <t>111</t>
  </si>
  <si>
    <t>Расходы на обеспечение деятельности (оказание услуг) учреждений хозяйственного обслуживания</t>
  </si>
  <si>
    <t>Иные выплаты персоналу государственных (муниципальных) органов, за исключением фонда оплаты труда</t>
  </si>
  <si>
    <t>Доходы от сдачи в аренду имущества, находящегося в оперативном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</si>
  <si>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</si>
  <si>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</si>
  <si>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</si>
  <si>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Водное хозяйство</t>
  </si>
  <si>
    <t>на осуществление государственных  полномочий по  уведомительной  регистрации  коллективных  договоров</t>
  </si>
  <si>
    <t>Наименование</t>
  </si>
  <si>
    <t>ГРБС</t>
  </si>
  <si>
    <t>Код</t>
  </si>
  <si>
    <t>(тыс. рублей)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</si>
  <si>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</si>
  <si>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</si>
  <si>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961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</si>
  <si>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</si>
  <si>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НАЛОГИ НА СОВОКУПНЫЙ ДОХОД</t>
  </si>
  <si>
    <t>Единый налог на вмененный доход для отдельных видов деятельности</t>
  </si>
  <si>
    <t>188</t>
  </si>
  <si>
    <t>Осуществление полномочий по контролю за исполнением утвержденных бюджетов поселений</t>
  </si>
  <si>
    <t>Другие общегосударственные вопросы</t>
  </si>
  <si>
    <t>Резервные фонды</t>
  </si>
  <si>
    <t xml:space="preserve">на содержание инструкторов по физической культуре и спорту </t>
  </si>
  <si>
    <t>Приложение 11</t>
  </si>
  <si>
    <t>2 02 04012 05 0000 151</t>
  </si>
  <si>
    <t>Прочие межбюджетные трансферты, передаваемые бюджетам муниципальных районов</t>
  </si>
  <si>
    <t>000 01 02 00 00 00 0000 800</t>
  </si>
  <si>
    <t xml:space="preserve">Погашение кредитов, предоставленных кредитными организациями в валюте Российской Федерации </t>
  </si>
  <si>
    <t>000 01 02 00 00 05 0000 810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</si>
  <si>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</si>
  <si>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</si>
  <si>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на осуществление государственных полномочий по организации и осуществлению деятельности по опеке и попечительству в РБ</t>
  </si>
  <si>
    <t>Увеличение фонда оплаты труда педагогических работников муниципальных учреждений дополнительного образования</t>
  </si>
  <si>
    <t>Осуществление государственных полномочий по хранению, формированию, учету и использованию архивного фонда Республики Бурятия</t>
  </si>
  <si>
    <t>Осуществление отдельных государственных полномочий по уведомительной регистрации коллективных договоров</t>
  </si>
  <si>
    <t>Профессиональная подготовка, переподготовка и повышение квалификации</t>
  </si>
  <si>
    <t>Субвенции бюджетам муниципальных районов на  ежемесячное денежное вознаграждение за классное руководство</t>
  </si>
  <si>
    <t xml:space="preserve">        Муниципальное казенное учреждение "Отдел культуры муниципального образования "Закаменский район"</t>
  </si>
  <si>
    <t xml:space="preserve">       Муниципальное казенное учреждение "Управление по развитию инфраструктуры" муниципального образования "Закаменский район"</t>
  </si>
  <si>
    <t>Расходы, связанные с осуществлением депутатских полномочий</t>
  </si>
  <si>
    <t>Осуществление мероприятий, связанных с владением, пользованием и распоряжением имуществом, находящимся в муниципальной собственности, оформлением имущества в муниципальную собственность</t>
  </si>
  <si>
    <t>852</t>
  </si>
  <si>
    <t>112</t>
  </si>
  <si>
    <t>Закупка товаров, работ, услуг в сфере информационно-коммуникационных технологий</t>
  </si>
  <si>
    <t>Сумма изменений (+, -)</t>
  </si>
  <si>
    <t>Осуществление полномочий по созданию условий для организации досуга и обеспечения жителей поселения услугами организаций культуры</t>
  </si>
  <si>
    <t>Резервный фонд финансирования непредвиденных расходов</t>
  </si>
  <si>
    <t>Поддержка экономического и социального развития коренных малочисленных народов Севера, Сибири и Дальнего Востока</t>
  </si>
  <si>
    <t>Проведение выборов в представительные органы муниципального образования</t>
  </si>
  <si>
    <t>На повышение средней заработной платы работников муниципальных учреждений культуры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</si>
  <si>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</si>
  <si>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</si>
  <si>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</si>
  <si>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</si>
  <si>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</si>
  <si>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000 01 05 02 01 05 0000 510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</si>
  <si>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</si>
  <si>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</si>
  <si>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</si>
  <si>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</si>
  <si>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</si>
  <si>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Налог с продаж</t>
  </si>
  <si>
    <t>на подготовку проектов межевания и проведение кадастровых работ в отношении земельных участков, выделяемых в счет земельных долей</t>
  </si>
  <si>
    <t>на организацию горячего питания детей, обучающихся в муниципальных общеобразовательных учреждениях</t>
  </si>
  <si>
    <t>Межбюджетные трансферты, передаваемые бюджетам муниципальных районов для компенсации дополнительных расходов, возникающих в результате решений, принятых органами власти другого уровня</t>
  </si>
  <si>
    <t>Жилищно-коммунальное хозяйство</t>
  </si>
  <si>
    <t>Коммунальное хозяйство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</si>
  <si>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</si>
  <si>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</si>
  <si>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Дорожное хозяйство (дорожные фонды)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</si>
  <si>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</si>
  <si>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</si>
  <si>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</si>
  <si>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000 01 05 00 00 00 0000 500</t>
  </si>
  <si>
    <t>999</t>
  </si>
  <si>
    <t>0113</t>
  </si>
  <si>
    <t>0909</t>
  </si>
  <si>
    <t>1006</t>
  </si>
  <si>
    <t>1102</t>
  </si>
  <si>
    <t>1202</t>
  </si>
  <si>
    <t>1301</t>
  </si>
  <si>
    <t>1401</t>
  </si>
  <si>
    <t>1402</t>
  </si>
  <si>
    <t>1403</t>
  </si>
  <si>
    <t>Погашение  бюджетом муниципального образования кредитов от кредитных организаций в валюте Российской Федерации</t>
  </si>
  <si>
    <t>ДОХОДЫ ОТ ИСПОЛЬЗОВАНИЯ ИМУЩЕСТВА, НАХОДЯЩЕГОСЯ В ГОСУДАРСТВЕННОЙ И МУНИЦИПАЛЬНОЙ СОБСТВЕННОСТИ</t>
  </si>
  <si>
    <t>Итого источников финансирования</t>
  </si>
  <si>
    <t>000 01 03 00 00 00 0000 000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</si>
  <si>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</si>
  <si>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</si>
  <si>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</si>
  <si>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Дотации бюджетам муниципальных районов на выравнивание бюджетной обеспеченности</t>
  </si>
  <si>
    <t>Другие вопросы в области национальной экономики</t>
  </si>
  <si>
    <t>Содержание инструкторов по физической культуре и спорту</t>
  </si>
  <si>
    <t>Общее образование</t>
  </si>
  <si>
    <t>Органы внутренних дел</t>
  </si>
  <si>
    <t>Образование</t>
  </si>
  <si>
    <t>.07</t>
  </si>
  <si>
    <t>Другие вопросы в области образования</t>
  </si>
  <si>
    <t>851</t>
  </si>
  <si>
    <t>Уплата налога на имущество организаций и земельного налога</t>
  </si>
  <si>
    <t>НАЛОГОВЫЕ И НЕНАЛОГОВЫЕ ДОХОДЫ</t>
  </si>
  <si>
    <t>НАЛОГИ НА ПРИБЫЛЬ, ДОХОДЫ</t>
  </si>
  <si>
    <t>Налог на доходы физических лиц</t>
  </si>
  <si>
    <t>Развитие общественной инфраструктуры муниципальных образований</t>
  </si>
  <si>
    <t>.09</t>
  </si>
  <si>
    <t>.10</t>
  </si>
  <si>
    <t>Уменьшение прочих остатков денежных средств бюджетов</t>
  </si>
  <si>
    <t>000 01 05 02 01 05 0000 610</t>
  </si>
  <si>
    <t>000 01 06 00 00 00 0000 000</t>
  </si>
  <si>
    <t>0801</t>
  </si>
  <si>
    <t>323</t>
  </si>
  <si>
    <t>853</t>
  </si>
  <si>
    <t>Уплата иных платежей</t>
  </si>
  <si>
    <t>Другие вопросы в области жилищно-коммунального хозяйства</t>
  </si>
  <si>
    <t>0505</t>
  </si>
  <si>
    <t>Компенсация разницы между фактическим удельным расходом топлива и нормативным, учтенным в тарифе на тепловую энергию</t>
  </si>
  <si>
    <t>7130000000</t>
  </si>
  <si>
    <t>7130500000</t>
  </si>
  <si>
    <t>7110100000</t>
  </si>
  <si>
    <t>7100000000</t>
  </si>
  <si>
    <t>7110000000</t>
  </si>
  <si>
    <t>9990000000</t>
  </si>
  <si>
    <t>9990051200</t>
  </si>
  <si>
    <t>Муниципальная программа "Эффективное управление муниципальными финансами и муниципальным долгом"</t>
  </si>
  <si>
    <t>7120200000</t>
  </si>
  <si>
    <t>7120000000</t>
  </si>
  <si>
    <t>7120273090</t>
  </si>
  <si>
    <t>Муниципальная программа "Развитие культуры "</t>
  </si>
  <si>
    <t>Подпрограмма "Формирование единого культурного пространства муниципального образования "Закаменский район""</t>
  </si>
  <si>
    <t>Основное мероприятие "Поддержка и развитие системы дополнительного художественного образования, профессионального и самодеятельного творчества"</t>
  </si>
  <si>
    <t>7310200000</t>
  </si>
  <si>
    <t>7310000000</t>
  </si>
  <si>
    <t>7300000000</t>
  </si>
  <si>
    <t>7310300000</t>
  </si>
  <si>
    <t>Основное мероприятие "Повышение востребованности среди населения культурных  услуг"</t>
  </si>
  <si>
    <t>Муниципальная программа "Развитие культуры"</t>
  </si>
  <si>
    <t>7310100000</t>
  </si>
  <si>
    <t>9990073180</t>
  </si>
  <si>
    <t>9990073130</t>
  </si>
  <si>
    <t>9990073150</t>
  </si>
  <si>
    <t>9990073120</t>
  </si>
  <si>
    <t>9990073100</t>
  </si>
  <si>
    <t>9990073110</t>
  </si>
  <si>
    <t>9990073070</t>
  </si>
  <si>
    <t>9990073080</t>
  </si>
  <si>
    <t>9990073200</t>
  </si>
  <si>
    <t>Осуществление отдельного государственного полномочия по отлову, транспортировке и содержанию безнадзорных домашних животных</t>
  </si>
  <si>
    <t>9990073010</t>
  </si>
  <si>
    <t>9990082100</t>
  </si>
  <si>
    <t>7110184020</t>
  </si>
  <si>
    <t>Муниципальная программа "Развитие физической культуры и спорта, молодежной политики"</t>
  </si>
  <si>
    <t>7500000000</t>
  </si>
  <si>
    <t>Подпрограмма "Развитие физической культуры и спорта"</t>
  </si>
  <si>
    <t>7510000000</t>
  </si>
  <si>
    <t>Основное мероприятие "Организация и проведение спортивно-массовых и оздоровительных мероприятий с различными группами населения"</t>
  </si>
  <si>
    <t>7520000000</t>
  </si>
  <si>
    <t>7520300000</t>
  </si>
  <si>
    <t>7520382050</t>
  </si>
  <si>
    <t>Муниципальная программа "Развитие образования в муниципальном образовании "Закаменский район""</t>
  </si>
  <si>
    <t>Подпрограмма "Развитие муниципальной системы дошкольного образования"</t>
  </si>
  <si>
    <t>7800000000</t>
  </si>
  <si>
    <t>7810000000</t>
  </si>
  <si>
    <t>Подпрограмма "Общее образование"</t>
  </si>
  <si>
    <t>7820000000</t>
  </si>
  <si>
    <t>7820100000</t>
  </si>
  <si>
    <t>Муниципальная программа "Профилактика преступлений и иных правонарушений в Закаменском районе"</t>
  </si>
  <si>
    <t>7820173030</t>
  </si>
  <si>
    <t>7820173040</t>
  </si>
  <si>
    <t>7810100000</t>
  </si>
  <si>
    <t>Основное мероприятие "Обеспечение государственных гарантий доступного и качественного дошкольного образования"</t>
  </si>
  <si>
    <t>7810173020</t>
  </si>
  <si>
    <t>7900000000</t>
  </si>
  <si>
    <t>7900400000</t>
  </si>
  <si>
    <t>Основное мероприятие "Профилактика алкоголизма и наркомании"</t>
  </si>
  <si>
    <t>Подпрограмма "Совершенствование муниципального управления в сфере культуры и искусства"</t>
  </si>
  <si>
    <t>Основное мероприятие "Повышение эффективности управления в сфере культуры"</t>
  </si>
  <si>
    <t>7330000000</t>
  </si>
  <si>
    <t>7330100000</t>
  </si>
  <si>
    <t>7700000000</t>
  </si>
  <si>
    <t>9990085010</t>
  </si>
  <si>
    <t>000  1  03  02230  01  0000  110</t>
  </si>
  <si>
    <t>000  1  03  02240  01  0000  110</t>
  </si>
  <si>
    <t>000  1  03  02250  01  0000  110</t>
  </si>
  <si>
    <t>000  1  03  02260  01  0000  110</t>
  </si>
  <si>
    <t>Единый налог, взимаемый в связи с применением упрощенной системы налогообложения</t>
  </si>
  <si>
    <t>Единый налог, взимаемый с налогоплательщиков, выбравших в качестве объекта налогообложения доходы</t>
  </si>
  <si>
    <t>Единый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</si>
  <si>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Единый сельскохозяйственный налог (за налоговые периоды, истекшие до 1 января 2011 года) </t>
  </si>
  <si>
    <t>НАЛОГИ НА ИМУЩЕСТВО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</si>
  <si>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</si>
  <si>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</si>
  <si>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Транспортный налог</t>
  </si>
  <si>
    <t>Транспортный налог с организаций</t>
  </si>
  <si>
    <t>Транспортный налог с физических лиц</t>
  </si>
  <si>
    <t>000  1  08  07000  01  0000  110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</si>
  <si>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</si>
  <si>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000  1  08  07140  01  0000  110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</si>
  <si>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</si>
  <si>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000  1  09  00000  00  0000  000</t>
  </si>
  <si>
    <t>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</si>
  <si>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000  1  09  01000  00  0000  110</t>
  </si>
  <si>
    <t>Налог на прибыль организаций, зачислявшийся до 1 января 2005 года в местные бюджеты</t>
  </si>
  <si>
    <t>000  1  09  01030  05  0000  110</t>
  </si>
  <si>
    <t>000  1  09  03000  00  0000  110</t>
  </si>
  <si>
    <t>Платежи за пользование природными ресурсами</t>
  </si>
  <si>
    <t>000  1  09  03010  00  0000  110</t>
  </si>
  <si>
    <t>Платежи за проведение поисковых и разведочных работ</t>
  </si>
  <si>
    <t>000  1  09  03010  05  0000  110</t>
  </si>
  <si>
    <t>Платежи за проведение поисковых и разведочных работ, мобилизуемые на территориях муниципальных районов</t>
  </si>
  <si>
    <t>000  1  09  04000  00  0000  110</t>
  </si>
  <si>
    <t>Налоги на имущество</t>
  </si>
  <si>
    <t>000  1  09  04050  00  0000  110</t>
  </si>
  <si>
    <t>Земельный налог (по обязательствам, возникшим до 1 января 2006 года)</t>
  </si>
  <si>
    <t>000  1  09  04050  05  0000  110</t>
  </si>
  <si>
    <t>Земельный налог (по обязательствам, возникшим до 1 января 2006 года), мобилизуемый на межселенных территориях</t>
  </si>
  <si>
    <t>000  1  09  06000  02  0000  110</t>
  </si>
  <si>
    <t>Прочие налоги и сборы (по отмененным налогам и сборам субъектов Российской Федерации)</t>
  </si>
  <si>
    <t>000  1  09  06010  02  0000  110</t>
  </si>
  <si>
    <t>000  1  09  07000  00  0000  110</t>
  </si>
  <si>
    <t>Прочие налоги и сборы (по отмененным местным налогам и сборам)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</si>
  <si>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</si>
  <si>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</si>
  <si>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000  1  09  07030  05  0000  110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</si>
  <si>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</si>
  <si>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000 1 08 07200 01 0000 110</t>
  </si>
  <si>
    <t>Прочие государственные пошлины за государственную регистрацию, а также за совершение прочих юридически значимых действий</t>
  </si>
  <si>
    <t>000  1  11  05012  10  0000  120</t>
  </si>
  <si>
    <t>Арендная плата и поступления от продажи права на заключение договоров аренды земельных участков, государственная собственность на которые не разграничена, расположенных в границах поселений и предназначенных для целей жилищного строительства</t>
  </si>
  <si>
    <t>000  1  11  05020  00  0000  120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</si>
  <si>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</si>
  <si>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000  1  11  05025  10  0000  120</t>
  </si>
  <si>
    <t>Арендная плата и поступления от продажи права на заключение договоров аренды за земли, находящиеся в собственности поселений</t>
  </si>
  <si>
    <t xml:space="preserve"> 000   1 11 05010 05 0000 120  </t>
  </si>
  <si>
    <t>Доходы,получаемые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</si>
  <si>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000  1  11  05025  05  0000  120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</si>
  <si>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земельныхучастков муниципальных бюджетных и автономных учреждений)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</si>
  <si>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</si>
  <si>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000 1 14 02032 05 0000 410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</si>
  <si>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</si>
  <si>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000 1 14 02032 05 0000 440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</si>
  <si>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</si>
  <si>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муниципальныхунитарных предприятий, в том числе казенных), в части реализации основных средств по указанному имуществу</t>
  </si>
  <si>
    <t>000 1 14 02033 05 0000 440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</si>
  <si>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муниципальныхунитарных предприятий, в том числе казенных), в части реализации материальных запасов по указанному имуществу</t>
  </si>
  <si>
    <t>Доходы от продажи  земельных  участков, находящихся   в    государственной    и муниципальной     собственности     (за исключением     земельных      участков  автономных учреждений)</t>
  </si>
  <si>
    <t>000  1  16  08000  01  0000  140</t>
  </si>
  <si>
    <t>000  1  16  21000  00  0000  140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</si>
  <si>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</si>
  <si>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000  1  16  21030  03  0000  140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</si>
  <si>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внутригородских муниципальных образований городов федерального значения Москвы и Санкт-Петербурга</t>
  </si>
  <si>
    <t>000 1 16 25050 01 0000 140</t>
  </si>
  <si>
    <t>000  1  16  25070  01  0000  140</t>
  </si>
  <si>
    <t>Денежные взыскания (штрафы) за нарушение лесного законодательства</t>
  </si>
  <si>
    <t>000  1  16  27000  01  0000  140</t>
  </si>
  <si>
    <t>Денежные взыскания (штрафы) за нарушение Федерального закона "О пожарной безопасности"</t>
  </si>
  <si>
    <t>000  1  16  30000  01  0000  140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</si>
  <si>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</si>
  <si>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</si>
  <si>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</si>
  <si>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000  1  16  90000  00  0000  140</t>
  </si>
  <si>
    <t>Прочие поступления от денежных взысканий (штрафов) и иных сумм в возмещение ущерба</t>
  </si>
  <si>
    <t>000  1  17  01000  00  0000  180</t>
  </si>
  <si>
    <t>Невыясненные поступления</t>
  </si>
  <si>
    <t>000  1  17  05000  00  0000  180</t>
  </si>
  <si>
    <t>Прочие неналоговые доходы</t>
  </si>
  <si>
    <t>000  117  01000  00  0000  180</t>
  </si>
  <si>
    <t>000  117  01050  05  0000  180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</si>
  <si>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</si>
  <si>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</si>
  <si>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Резервный фонд финансирования непредвиденных расходов администрации МО "Закаменский район"</t>
  </si>
  <si>
    <t>.0701</t>
  </si>
  <si>
    <t>.0702</t>
  </si>
  <si>
    <t>.0707</t>
  </si>
  <si>
    <t>.0709</t>
  </si>
  <si>
    <t>.0801</t>
  </si>
  <si>
    <t>.1001</t>
  </si>
  <si>
    <t>итого</t>
  </si>
  <si>
    <t>Доходы бюджетов муниципальных районов от возврата иными организациями остатков субсидий прошлых лет</t>
  </si>
  <si>
    <t>Совет депутатов муниципального образования "Закаменский район"</t>
  </si>
  <si>
    <t>Администрация муниципального образования "Закаменский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</si>
  <si>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</si>
  <si>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</si>
  <si>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0106</t>
  </si>
  <si>
    <t>0107</t>
  </si>
  <si>
    <t>0111</t>
  </si>
  <si>
    <t>0300</t>
  </si>
  <si>
    <t>Национальная безопасность и правоохранительная деятельность</t>
  </si>
  <si>
    <t>0302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</si>
  <si>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</si>
  <si>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</si>
  <si>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</si>
  <si>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</si>
  <si>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</si>
  <si>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</si>
  <si>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</si>
  <si>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0405</t>
  </si>
  <si>
    <t>0406</t>
  </si>
  <si>
    <t>0409</t>
  </si>
  <si>
    <t>0412</t>
  </si>
  <si>
    <t>0500</t>
  </si>
  <si>
    <t>0501</t>
  </si>
  <si>
    <t>0502</t>
  </si>
  <si>
    <t>0503</t>
  </si>
  <si>
    <t>0600</t>
  </si>
  <si>
    <t>0700</t>
  </si>
  <si>
    <t>0701</t>
  </si>
  <si>
    <t>0702</t>
  </si>
  <si>
    <t>Единый налог на вмененный доход для отдельных видов деятельности (за налоговые периоды, истекшие  до 1 января 2011 года)</t>
  </si>
  <si>
    <t>Единый сельскохозяйственный налог</t>
  </si>
  <si>
    <t>тыс.рублей</t>
  </si>
  <si>
    <t>9990084010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</si>
  <si>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</si>
  <si>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Подпрограмма "Повышение эффективности управления муниципальными финансами"</t>
  </si>
  <si>
    <t xml:space="preserve">  Подпрограмма "Совершенствование межбюджетных отношений"</t>
  </si>
  <si>
    <t xml:space="preserve">  Подпрограмма "Управление муниципальным долгом"</t>
  </si>
  <si>
    <t xml:space="preserve">  Подпрограмма "Формирование единого культурного пространства муниципального образования "Закаменский район""</t>
  </si>
  <si>
    <t xml:space="preserve">  Подпрограмма "Совершенствование муниципального управления в сфере культуры и искусства"</t>
  </si>
  <si>
    <t xml:space="preserve">  Подпрограмма "Развитие физической культуры и спорта"</t>
  </si>
  <si>
    <t xml:space="preserve">    Основное мероприятие "Повышение качества управления муниципальными финансами"</t>
  </si>
  <si>
    <t xml:space="preserve">     Основное мероприятие  "Обслуживание муниципального долга МО «Закаменский район»"</t>
  </si>
  <si>
    <t xml:space="preserve">     Основное мероприятие "Распределение и предоставление межбюджетных трансфертов поселениям"</t>
  </si>
  <si>
    <t xml:space="preserve">     Основное мероприятие "Повышение востребованности среди населения культурных  услуг"</t>
  </si>
  <si>
    <t xml:space="preserve">     Основное мероприятие "Поддержка и развитие системы дополнительного художественного образования, профессионального и самодеятельного творчества"</t>
  </si>
  <si>
    <t xml:space="preserve">      Основное мероприятие "Повышение эффективности управления в сфере культуры"</t>
  </si>
  <si>
    <t>Приложение 6</t>
  </si>
  <si>
    <t>7900200000</t>
  </si>
  <si>
    <t>7900700000</t>
  </si>
  <si>
    <t>Основное мероприятие "Пропаганда здорового образа жизни, правовое, культурное, спортивное, нравственное и военно-патриотическое воспитание граждан"</t>
  </si>
  <si>
    <t>Основное мероприятие "Профилактика беспризорности, безнадзорности и правонарушений несовершеннолетних"</t>
  </si>
  <si>
    <t>Основное мероприятие "Профилактика терроризма и экстремизма "</t>
  </si>
  <si>
    <t>Основное мероприятие "Организация профилактики преступлений и иных правонарушений в общественных местах"</t>
  </si>
  <si>
    <t>9990091020</t>
  </si>
  <si>
    <t xml:space="preserve">Фонд оплаты труда государственных (муниципальных) органов </t>
  </si>
  <si>
    <t>129</t>
  </si>
  <si>
    <t>9990091030</t>
  </si>
  <si>
    <t>9990091040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</si>
  <si>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</si>
  <si>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</si>
  <si>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Фонд оплаты труда государственных (муниципальных) органов</t>
  </si>
  <si>
    <t>9990091050</t>
  </si>
  <si>
    <t>7900223590</t>
  </si>
  <si>
    <t>7900723590</t>
  </si>
  <si>
    <t>9990023590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</si>
  <si>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</si>
  <si>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</si>
  <si>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9990086010</t>
  </si>
  <si>
    <t>9990086030</t>
  </si>
  <si>
    <t>Муниципальная программа "Экономическое развитие муниципального образования "Закаменский район""</t>
  </si>
  <si>
    <t>8100000000</t>
  </si>
  <si>
    <t>Подпрограмма "Развитие имущественных и земельных отношений"</t>
  </si>
  <si>
    <t>8130000000</t>
  </si>
  <si>
    <t>8130200000</t>
  </si>
  <si>
    <t>7200000000</t>
  </si>
  <si>
    <t>Расходы на проведение мероприятий в области сельского хозяйства</t>
  </si>
  <si>
    <t>9990073220</t>
  </si>
  <si>
    <t>Реализация мероприятий по сокращению наркосырьевой базы, в том числе с применением химического способа уничтожения дикорастущей конопли</t>
  </si>
  <si>
    <t>7900472570</t>
  </si>
  <si>
    <t xml:space="preserve">Субсидии бюджетам муниципальных образований на реализацию мероприятий по обеспечению деятельности по охране правопорядка и общественной безопасности, повышению безопасности дорожного движения </t>
  </si>
  <si>
    <t>7900772660</t>
  </si>
  <si>
    <t xml:space="preserve">Софинансирование мероприятий по обеспечению деятельности по охране правопорядка и общественной безопасности, повышению безопасности дорожного движения </t>
  </si>
  <si>
    <t>79007S2400</t>
  </si>
  <si>
    <t>8130100000</t>
  </si>
  <si>
    <t>8130300000</t>
  </si>
  <si>
    <t>7310213030</t>
  </si>
  <si>
    <t>7310113120</t>
  </si>
  <si>
    <t>7310313140</t>
  </si>
  <si>
    <t>7310314030</t>
  </si>
  <si>
    <t>7330123040</t>
  </si>
  <si>
    <t>7330191020</t>
  </si>
  <si>
    <t>9990013590</t>
  </si>
  <si>
    <t>73103Т8020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</si>
  <si>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</si>
  <si>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9990051480</t>
  </si>
  <si>
    <t>7810113010</t>
  </si>
  <si>
    <t>7820113020</t>
  </si>
  <si>
    <t>Cофинансирование мероприятий по развитию общественной инфраструктуры</t>
  </si>
  <si>
    <t>99900S2100</t>
  </si>
  <si>
    <t>7820412110</t>
  </si>
  <si>
    <t>На финансовое обеспечение мероприятий, связанных с отдыхом и оздоровлением детей, находящихся в трудной жизненной ситуации</t>
  </si>
  <si>
    <t>7820454570</t>
  </si>
  <si>
    <t>Организация деятельности по обеспечению прав детей, находящихся в трудной жизненной ситуации, на отдых и оздоровление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</si>
  <si>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</si>
  <si>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9990091010</t>
  </si>
  <si>
    <t>9990082300</t>
  </si>
  <si>
    <t>Субсидии гражданам на приобретение жилья</t>
  </si>
  <si>
    <t>322</t>
  </si>
  <si>
    <t>7510313150</t>
  </si>
  <si>
    <t>Иные выплаты населению</t>
  </si>
  <si>
    <t>360</t>
  </si>
  <si>
    <t>9990012090</t>
  </si>
  <si>
    <t>7110191020</t>
  </si>
  <si>
    <t>9990086020</t>
  </si>
  <si>
    <t>71305М7010</t>
  </si>
  <si>
    <t>71202Т8010</t>
  </si>
  <si>
    <t>71202Т8040</t>
  </si>
  <si>
    <t>7600000000</t>
  </si>
  <si>
    <t>999005420Д</t>
  </si>
  <si>
    <t>99900S2030</t>
  </si>
  <si>
    <t>99900Д2020</t>
  </si>
  <si>
    <t>00</t>
  </si>
  <si>
    <t>ниципальных учреждений</t>
  </si>
  <si>
    <t>культуры, находящихся на</t>
  </si>
  <si>
    <t>территориях сельских по-</t>
  </si>
  <si>
    <t>селений</t>
  </si>
  <si>
    <t>Сумма, тыс. руб.</t>
  </si>
  <si>
    <t>Дополнительное образование детей</t>
  </si>
  <si>
    <t>0703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</si>
  <si>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</si>
  <si>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</si>
  <si>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Расходы на обеспечение деятельности (оказание услуг) учреждений культуры (другие учреждения культуры)</t>
  </si>
  <si>
    <t>Национальная экономика</t>
  </si>
  <si>
    <t>.04</t>
  </si>
  <si>
    <t>Сельское хозяйство и рыболовство</t>
  </si>
  <si>
    <t>.05</t>
  </si>
  <si>
    <t>01</t>
  </si>
  <si>
    <t>03</t>
  </si>
  <si>
    <t>06</t>
  </si>
  <si>
    <t>04</t>
  </si>
  <si>
    <t>05</t>
  </si>
  <si>
    <t xml:space="preserve">Культура, кинематография </t>
  </si>
  <si>
    <t>08</t>
  </si>
  <si>
    <t>Здравоохранение</t>
  </si>
  <si>
    <t>09</t>
  </si>
  <si>
    <t>02</t>
  </si>
  <si>
    <t>Закаменское районное финансовое управление</t>
  </si>
  <si>
    <t>Денежные взыскания (штрафы) за нарушение законодательства об охране и использовании животного мира</t>
  </si>
  <si>
    <t>000  1  16  25060  01  0000  140</t>
  </si>
  <si>
    <t>Периодическая печать и издательства</t>
  </si>
  <si>
    <t>12</t>
  </si>
  <si>
    <t>13</t>
  </si>
  <si>
    <t>14</t>
  </si>
  <si>
    <t>921</t>
  </si>
  <si>
    <t>931</t>
  </si>
  <si>
    <t>Культура, кинематография</t>
  </si>
  <si>
    <t>Другие вопросы в области культуры, кинематографии</t>
  </si>
  <si>
    <t xml:space="preserve">Физическая культура </t>
  </si>
  <si>
    <t>Другие вопросы в области физической культуры и спорта</t>
  </si>
  <si>
    <t>Другие вопросы в области средств массовой информации</t>
  </si>
  <si>
    <t>Массовый спорт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</si>
  <si>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</si>
  <si>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000 01 06 05 00 00 0000 000</t>
  </si>
  <si>
    <t>на развитие общественной инфраструктуры, капитальный ремонт, реконструкцию, строительство объектов образования, инженерной инфраструктуры, дорожного хозяйства</t>
  </si>
  <si>
    <t>На повышение средней заработной  платы педагогических работников муниципальных учреждений дополнительного образования отрасли «Культура» на 2015 год в целях выполнения Указа Президента Российской Федерации от 1 июня 2012 года №761 «О Национальной стратегии действий в  интересах детей на 2012 – 2017 годы»</t>
  </si>
  <si>
    <t>244</t>
  </si>
  <si>
    <t>242</t>
  </si>
  <si>
    <t>122</t>
  </si>
  <si>
    <t>Приложение 9</t>
  </si>
  <si>
    <t>Муниципальное казенное учреждение "Административно-хозяйственный отдел администрации муниципального образования "Закаменский район""</t>
  </si>
  <si>
    <t>Муниципальное казенное учреждение "Комитет по экономическому развитию" муниципального образования "Закаменский район"</t>
  </si>
  <si>
    <t>Муниципальное казенное учреждение "Отдел культуры муниципального образования "Закаменский район"</t>
  </si>
  <si>
    <t>Муниципальное казенное учреждение "Закаменское районное управление образования"</t>
  </si>
  <si>
    <t>Муниципальное казенное учреждение "Управление по развитию инфраструктуры" муниципального образования "Закаменский район"</t>
  </si>
  <si>
    <t>Расходы на обеспечение функций органов местного самоуправления</t>
  </si>
  <si>
    <t>939</t>
  </si>
  <si>
    <t>Расходы на обеспечение деятельности (оказание услуг) общеобразовательных учреждений дополнительного образования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</si>
  <si>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</si>
  <si>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Расходы на обеспечение деятельности (оказание услуг) учреждений культуры (библиотеки)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</si>
  <si>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</si>
  <si>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Расходы на обеспечение деятельности (оказание услуг) муниципальных учреждений (учебно-методические кабинеты, централизованные бухгалтерии)</t>
  </si>
  <si>
    <t>Расходы на обеспечение деятельности (оказание услуг) детских дошкольных учреждений</t>
  </si>
  <si>
    <t>7530000000</t>
  </si>
  <si>
    <t>7530100000</t>
  </si>
  <si>
    <t>7530182260</t>
  </si>
  <si>
    <t>Молодежная политика</t>
  </si>
  <si>
    <t xml:space="preserve">Фонд оплаты труда учреждений </t>
  </si>
  <si>
    <t>Иные выплаты персоналу учреждений, за исключением фонда оплаты труда</t>
  </si>
  <si>
    <t>Фонд оплаты труда учреждений</t>
  </si>
  <si>
    <t xml:space="preserve">Иные выплаты персоналу учреждений, за исключением фонда оплаты труда </t>
  </si>
  <si>
    <t>Приложение 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</si>
  <si>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</si>
  <si>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</si>
  <si>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</si>
  <si>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</si>
  <si>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</si>
  <si>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</si>
  <si>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</si>
  <si>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</si>
  <si>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Прочие субсидии</t>
  </si>
  <si>
    <t>Прочие межбюджетные трансферты, передаваемые бюджетам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</si>
  <si>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</si>
  <si>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</si>
  <si>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инф рб</t>
  </si>
  <si>
    <t>инф мб</t>
  </si>
  <si>
    <t>Субсидия бюджетам на поддержку отрасли культуры</t>
  </si>
  <si>
    <t>Поддержка отрасли культуры</t>
  </si>
  <si>
    <t>7400000000</t>
  </si>
  <si>
    <t>7400200000</t>
  </si>
  <si>
    <t>74002S2450</t>
  </si>
  <si>
    <t>Муниципальная программа "Социально-экономическое развитие коренных малочисленных народов Севера, проживающих на территории муниципального образования "Закаменский район"</t>
  </si>
  <si>
    <t>Софинансирование мероприятий социально-экономического развития коренных малочисленных народов Севера</t>
  </si>
  <si>
    <t>7400100000</t>
  </si>
  <si>
    <t>74001S2450</t>
  </si>
  <si>
    <t>0000000000</t>
  </si>
  <si>
    <t xml:space="preserve"> Муниципальная программа "Социально-экономическое развитие коренных малочисленных народов Севера, проживающих на территории муниципального образования "Закаменский район"</t>
  </si>
  <si>
    <t>000 01 06 05 00 00 0000 500</t>
  </si>
  <si>
    <t>Предоставление бюджетных кредитов, предоставленных внутри страны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</si>
  <si>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</si>
  <si>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</si>
  <si>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</si>
  <si>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</si>
  <si>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74001R5150</t>
  </si>
  <si>
    <t>99900S2140</t>
  </si>
  <si>
    <t>На мероприятия подпрограммы "Обеспечение жельем молодых семей" ФЦП "Жилище на 2015-2020 годы"</t>
  </si>
  <si>
    <t xml:space="preserve"> 2 02 25520 00 0000 151</t>
  </si>
  <si>
    <t xml:space="preserve"> 2 02 25520 05 0000 151</t>
  </si>
  <si>
    <t xml:space="preserve">2 02 25520 05 0000 151 </t>
  </si>
  <si>
    <t xml:space="preserve">Субсидии бюджетам на реализацию мероприятий по содействию созданию в субъектах Российской Федерации новых мест в общеобразовательных организациях
</t>
  </si>
  <si>
    <t xml:space="preserve"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
</t>
  </si>
  <si>
    <t>на повышение средней заработной платы работников  муниципальных учреждений культуры</t>
  </si>
  <si>
    <t>Республиканский конкурс "Лучшее территориальное общественное самоуправление"</t>
  </si>
  <si>
    <t>Резервный фонд Правительства Республики Бурятия по ликвидации чрезвычайных ситуаций и последствий стихийных бедствий</t>
  </si>
  <si>
    <t>Реализация мероприятий федеральной целевой программы "Устойчивое развитие сельских территорий на 2014 - 2017 годы и на период до 2020 года"</t>
  </si>
  <si>
    <t>Софинансирование мероприятий федеральной целевой программы "Устойчивое развитие сельских территорий на 2014 - 2017 годы и на период до 2020 года"</t>
  </si>
  <si>
    <t>99900L0180</t>
  </si>
  <si>
    <t>99900S0180</t>
  </si>
  <si>
    <t>99900S2460</t>
  </si>
  <si>
    <t>75301L0200</t>
  </si>
  <si>
    <t>75301S0200</t>
  </si>
  <si>
    <t xml:space="preserve"> Обеспечение жильем молодых семей федеральной целевой программы "Жилище" на 2015 - 2020 годы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</si>
  <si>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</si>
  <si>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8300000000</t>
  </si>
  <si>
    <t>8300100000</t>
  </si>
  <si>
    <t>83001L5550</t>
  </si>
  <si>
    <t>7320000000</t>
  </si>
  <si>
    <t>7320100000</t>
  </si>
  <si>
    <t>73201C2950</t>
  </si>
  <si>
    <t>Подпрограмма "Совершенствование материально-технической базы муниципальных учреждений культуры Закаменского района"</t>
  </si>
  <si>
    <t>Основное мероприятие "Материально-техническое обеспечение муниципальных учреждений культуры Закаменского района"</t>
  </si>
  <si>
    <t>Софинансирование мероприятий по укреплению материальной технической базы в отрасли "Культура"</t>
  </si>
  <si>
    <t>7830000000</t>
  </si>
  <si>
    <t>7830200000</t>
  </si>
  <si>
    <t>78302S2890</t>
  </si>
  <si>
    <t>78302C2890</t>
  </si>
  <si>
    <t>Подпрограмма "Кадры образования"</t>
  </si>
  <si>
    <t>Основное мероприятие "Подготовка, переподготовка и повышение квалификации педагогических и руководящих кадров системы образования"</t>
  </si>
  <si>
    <t>Обеспечение муниципальных общеобразовательных организаций педагогическими работниками</t>
  </si>
  <si>
    <t>Софинансирование мероприятий по обеспечению муниципальных общеобразовательных организаций педагогическими работниками</t>
  </si>
  <si>
    <t>Обеспечение прав детей, находящихся в трудной жизненной ситуации, на отдых и оздоровление</t>
  </si>
  <si>
    <t>8200000000</t>
  </si>
  <si>
    <t>8200700000</t>
  </si>
  <si>
    <t>8200782460</t>
  </si>
  <si>
    <t>Муниципальная программа "Обеспечение безопасности жизнедеятельности населения на территории Закаменского района на 2015-2017 годы и на период до 2020 года"</t>
  </si>
  <si>
    <t>Основное мероприятие "Мероприятия по работе с детьми и молодежью"</t>
  </si>
  <si>
    <t>Мероприятия по обеспечению безопасности жизнедеятельности населения</t>
  </si>
  <si>
    <t>81303S2310</t>
  </si>
  <si>
    <t>8200100000</t>
  </si>
  <si>
    <t>82001S2660</t>
  </si>
  <si>
    <t>82004S2660</t>
  </si>
  <si>
    <t>8200600000</t>
  </si>
  <si>
    <t>8200400000</t>
  </si>
  <si>
    <t>8200682460</t>
  </si>
  <si>
    <t>8200800000</t>
  </si>
  <si>
    <t>Основное мероприятие "Осуществление полномочий в области использования автомобильных дорог и осуществление дорожной деятельности"</t>
  </si>
  <si>
    <t>Основное мероприятие "Предоставление помещения для работы на обслуживаемом административном участке сотруднику, замещающему должность участкового уполномоченного полиции"</t>
  </si>
  <si>
    <t>Основное мероприятие "Оказание поддержки гражданам и их объединениям, участвующим в охране общественного порядка, создание условий для деятельности народных дружин"</t>
  </si>
  <si>
    <t>8200200000</t>
  </si>
  <si>
    <t>82002S2660</t>
  </si>
  <si>
    <t>82008S2660</t>
  </si>
  <si>
    <t xml:space="preserve"> Основное мероприятие "Мероприятия по работе с детьми и молодежью"</t>
  </si>
  <si>
    <t>73101S5190</t>
  </si>
  <si>
    <t>8200500000</t>
  </si>
  <si>
    <t>8200582460</t>
  </si>
  <si>
    <t>74002L5150</t>
  </si>
  <si>
    <t>74002S5150</t>
  </si>
  <si>
    <t>74002C5150</t>
  </si>
  <si>
    <t>74001L5150</t>
  </si>
  <si>
    <t>74001S5150</t>
  </si>
  <si>
    <t>74001C5150</t>
  </si>
  <si>
    <t>8200282460</t>
  </si>
  <si>
    <t>99900S2870</t>
  </si>
  <si>
    <t>0705</t>
  </si>
  <si>
    <t>Доходы от продажи земельных участков,государственная собственность на которые не разграничена и которые расположены в границах поселений и межселенных территорий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</si>
  <si>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 указанных земельных участков</t>
  </si>
  <si>
    <t>Налог, взимаемый в связи с применением патентной системы налогообложения, зачисляемый в бюджеты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</si>
  <si>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</si>
  <si>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000  1  16  43000  01  0000 144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</si>
  <si>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правонарушениях.</t>
  </si>
  <si>
    <t>99900C2870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</si>
  <si>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</si>
  <si>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</si>
  <si>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Суммы по искам о возмещении вреда, причиненного окружающей среде, подлежащие зачислению в бюджеты муниципальных районов</t>
  </si>
  <si>
    <t>99900S2960</t>
  </si>
  <si>
    <t>Субсидии бюджетам муниципальных образований на подключение и абонентсую плату прямых каналов связи в целях  оснащения пунктов Единых дежурно-диспетчерских служб муниципальных районов и городских округов Республики Бурятия</t>
  </si>
  <si>
    <t>99900С5200</t>
  </si>
  <si>
    <t>113</t>
  </si>
  <si>
    <t>8120000000</t>
  </si>
  <si>
    <t>8120200000</t>
  </si>
  <si>
    <t>Подпрограмма "Развитие внутреннего и въездного туризма в Закаменском районе Республики Бурятия"</t>
  </si>
  <si>
    <t>000 1 14 02053 05 0000 410</t>
  </si>
  <si>
    <t>на реализацию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</si>
  <si>
    <t>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</si>
  <si>
    <t>99900S2980</t>
  </si>
  <si>
    <t xml:space="preserve">Прочие дотации </t>
  </si>
  <si>
    <t>Организация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</t>
  </si>
  <si>
    <t>Общеэкономические вопросы</t>
  </si>
  <si>
    <t>.0401</t>
  </si>
  <si>
    <t>0401</t>
  </si>
  <si>
    <t>9990088020</t>
  </si>
  <si>
    <t>7900482430</t>
  </si>
  <si>
    <t>целевые</t>
  </si>
  <si>
    <t>1  101  02040  01  0000  110</t>
  </si>
  <si>
    <t>2  101  02040  01  0000  110</t>
  </si>
  <si>
    <t>000  105  02000  02  0000  110</t>
  </si>
  <si>
    <t>4  101  02040  01  0000  110</t>
  </si>
  <si>
    <t>6  101  02040  01  0000  110</t>
  </si>
  <si>
    <t>7  101  02040  01  0000  110</t>
  </si>
  <si>
    <t>8  101  02040  01  0000  110</t>
  </si>
  <si>
    <t>9  101  02040  01  0000  110</t>
  </si>
  <si>
    <t>10  101  02040  01  0000  110</t>
  </si>
  <si>
    <t>11  101  02040  01  0000  110</t>
  </si>
  <si>
    <t>12  101  02040  01  0000  110</t>
  </si>
  <si>
    <t>13  101  02040  01  0000  110</t>
  </si>
  <si>
    <t>000  111  05013  05  0000  120</t>
  </si>
  <si>
    <t>000 111  05013  13  0000  120</t>
  </si>
  <si>
    <t>000  114  06013  05  0000  430</t>
  </si>
  <si>
    <t>000  114  06013  13  0000  430</t>
  </si>
  <si>
    <t>Бюджетные кредиты от других бюджетов бюджетной системы Российской Федерации в валюте Российской Федерации</t>
  </si>
  <si>
    <t>на дорожную деятельность в отношении автомобильных дорог общего пользования местного значения</t>
  </si>
  <si>
    <t>8130500000</t>
  </si>
  <si>
    <t>9990012290</t>
  </si>
  <si>
    <t>Проведение конкурса по сбору имущественных налогов</t>
  </si>
  <si>
    <t>Основное мероприятие "Приобретение музыкальной аппаратуры для муниципального бюджетного учреждения культуры "Мылинский сельский Дом культуры" улуса Мыла муниципального образования сельское поселение "Мылинское"</t>
  </si>
  <si>
    <t>Основное мероприятие "Приобретение материалов для пошива традиционных эвенкийских костюмов, атрибутики и музыкальной аппаратуры для муниципального бюджетного учреждения культуры "Мылинский сельский Дом культуры" улуса Мыла муниципального образования сельское поселение "Мылинское"</t>
  </si>
  <si>
    <t>Питание льготных категорий детей в дошкольных учреждениях</t>
  </si>
  <si>
    <t>9990013050</t>
  </si>
  <si>
    <t>71202Т8060</t>
  </si>
  <si>
    <t>8130400000</t>
  </si>
  <si>
    <t>8130482420</t>
  </si>
  <si>
    <t xml:space="preserve"> Основное мероприятие "Мероприятия направленные на эффективное использование муниципальной собственности (земля, имущество), проведение кадастровых работ, проведение оценки имущества, земельных участков, страхование транспортных средств, взносы на капитальный ремонт"</t>
  </si>
  <si>
    <t xml:space="preserve"> Мероприятия по предупреждению чрезвычайных ситуаций</t>
  </si>
  <si>
    <t>7310182400</t>
  </si>
  <si>
    <t xml:space="preserve">Субсидии бюджетам на поддержку обустройства мест массового отдыха населения (городских парков)
</t>
  </si>
  <si>
    <t xml:space="preserve">Субсидии бюджетам муниципальных районов на поддержку обустройства мест массового отдыха населения (городских парков)
</t>
  </si>
  <si>
    <t>Основное мероприятие "Профилактика терроризма и экстремизма"</t>
  </si>
  <si>
    <t>82006S2660</t>
  </si>
  <si>
    <t>8310200000</t>
  </si>
  <si>
    <t>83102L5550</t>
  </si>
  <si>
    <t>8320000000</t>
  </si>
  <si>
    <t>8320200000</t>
  </si>
  <si>
    <t>83202L5600</t>
  </si>
  <si>
    <t>99900S2050</t>
  </si>
  <si>
    <t>99900S2280</t>
  </si>
  <si>
    <t>Внесение изменений в документацию территориального планирования и градостроительного зонирования муниципальных образований в Республике Бурятия</t>
  </si>
  <si>
    <t>Прочая закупка товаров, работ и услуг</t>
  </si>
  <si>
    <t>Приобретение товаров, работ, услуг в пользу граждан в целях их социального обеспечения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</si>
  <si>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</si>
  <si>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Уплата прочих налогов, сборов</t>
  </si>
  <si>
    <t>Межбюджетные трансферты общего характера бюджетам бюджетной системы</t>
  </si>
  <si>
    <t>000 01 03 01 00 00 0000 000</t>
  </si>
  <si>
    <t>000 01 03 01 00 00 0000 700</t>
  </si>
  <si>
    <t>000 01 03 01 00 05 0000 710</t>
  </si>
  <si>
    <t>На формирование информационной системы обеспечения градостроительной деятельности (ИСОГД) в муниципальных районах и городских округах в Республике Бурятия</t>
  </si>
  <si>
    <t xml:space="preserve">Субсидии бюджетам муниципальных районов на реализацию мероприятий по устойчивому развитию сельских территорий
</t>
  </si>
  <si>
    <t>99900L0970</t>
  </si>
  <si>
    <t>99900L5670</t>
  </si>
  <si>
    <t>Реализация мероприятий по устойчивому развитию сельских территорий</t>
  </si>
  <si>
    <t>73101L5190</t>
  </si>
  <si>
    <t>7310272А30</t>
  </si>
  <si>
    <t>9990072А30</t>
  </si>
  <si>
    <t>99900L4670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</si>
  <si>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</si>
  <si>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7810172А30</t>
  </si>
  <si>
    <t>75301L4970</t>
  </si>
  <si>
    <t>Реализация мероприятий по обеспечению жильем молодых семей</t>
  </si>
  <si>
    <t>7120272А30</t>
  </si>
  <si>
    <t>8500000000</t>
  </si>
  <si>
    <t>8520000000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</si>
  <si>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</si>
  <si>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</si>
  <si>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</si>
  <si>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</si>
  <si>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000  1  16  08010  01  0000  140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</si>
  <si>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</si>
  <si>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000  1  16  08020  01  0000  140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</si>
  <si>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 табачной продукции</t>
  </si>
  <si>
    <t>000  1  16  18050  05  0000  140</t>
  </si>
  <si>
    <t>Денежные взыскания (штрафы)за нарушение бюджетного законодательства (в части бюджетов муниципальных районов)</t>
  </si>
  <si>
    <t>000  1  16  35030  05  0000  140</t>
  </si>
  <si>
    <t>8200482460</t>
  </si>
  <si>
    <t xml:space="preserve"> Основное мероприятие "Предоставление помещения для работы на обслуживаемом административном участке сотруднику, замещающему должность участкового уполномоченного полиции"</t>
  </si>
  <si>
    <t>78101S2A10</t>
  </si>
  <si>
    <t>Обеспечение противопожарной безопасности муниципальных образовательных организаций</t>
  </si>
  <si>
    <t>78201S2A10</t>
  </si>
  <si>
    <t>Обеспечение муниципальных общеобразовательных организаций вахтерами и на оплату оказанных услуг частными охранными предприятиями</t>
  </si>
  <si>
    <t>7850000000</t>
  </si>
  <si>
    <t>7850400000</t>
  </si>
  <si>
    <t>78201S2A50</t>
  </si>
  <si>
    <t>99900S2010</t>
  </si>
  <si>
    <t>9990082900</t>
  </si>
  <si>
    <t>9990082430</t>
  </si>
  <si>
    <t>на повышение средней заработной  платы педагогических работников муниципальных учреждений дополнительного образования отрасли "Культура" в целях выполнения Указа Президента Российской Федерации от 1 июня 2012 года №761 "О Национальной стратегии действий в интересах детей на 2012-2017 годы"</t>
  </si>
  <si>
    <t>на увеличение фонда оплаты труда педагогических работников муниципальных организаций дополнительного образования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</si>
  <si>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«О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образования»</t>
  </si>
  <si>
    <t>на финансовое обеспечение получения дошкольного образования в муниципальных образовательных организациях</t>
  </si>
  <si>
    <t xml:space="preserve"> 2 02 10000 00 0000 150</t>
  </si>
  <si>
    <t xml:space="preserve"> 2 02 15001 00 0000 150</t>
  </si>
  <si>
    <t xml:space="preserve"> 2 02 15001 05 0000 150</t>
  </si>
  <si>
    <t xml:space="preserve"> 2 02 15002 00 0000 150</t>
  </si>
  <si>
    <t xml:space="preserve"> 2 02 15002 05 0000 150</t>
  </si>
  <si>
    <t xml:space="preserve"> 2 02 19999 00 0000 150</t>
  </si>
  <si>
    <t xml:space="preserve"> 2 02 19999 05 0000 150</t>
  </si>
  <si>
    <t xml:space="preserve"> 2 02 20000 00 0000 150</t>
  </si>
  <si>
    <t xml:space="preserve"> 2 02 25467 00 0000 150</t>
  </si>
  <si>
    <t xml:space="preserve"> 2 02 25467 05 0000 150</t>
  </si>
  <si>
    <t>2 02 25467 05 0000 150</t>
  </si>
  <si>
    <t xml:space="preserve"> 2 02 25497 00 0000 150</t>
  </si>
  <si>
    <t xml:space="preserve"> 2 02 25497 05 0000 150</t>
  </si>
  <si>
    <t xml:space="preserve">2 02 25497 05 0000 150 </t>
  </si>
  <si>
    <t xml:space="preserve"> 2 02 25515 00 0000 150</t>
  </si>
  <si>
    <t xml:space="preserve"> 2 02 25515 05 0000 150</t>
  </si>
  <si>
    <t>2 02 25515 05 0000 150</t>
  </si>
  <si>
    <t xml:space="preserve"> 2 02 25519 00 0000 150</t>
  </si>
  <si>
    <t xml:space="preserve"> 2 02 25519 05 0000 150</t>
  </si>
  <si>
    <t>2 02 25519 05 0000 150</t>
  </si>
  <si>
    <t xml:space="preserve"> 2 02 25555 00 0000 150</t>
  </si>
  <si>
    <t xml:space="preserve"> 2 02 25555 05 0000 150</t>
  </si>
  <si>
    <t>2 02 25555 05 0000 150</t>
  </si>
  <si>
    <t xml:space="preserve"> 2 02 25560 00 0000 150</t>
  </si>
  <si>
    <t xml:space="preserve"> 2 02 25560 05 0000 150</t>
  </si>
  <si>
    <t>2 02 25560 05 0000 150</t>
  </si>
  <si>
    <t>2 02 25567 05 0000 150</t>
  </si>
  <si>
    <t xml:space="preserve"> 2 02 29999 00 0000 150</t>
  </si>
  <si>
    <t xml:space="preserve"> 2 02 29999 05 0000 150</t>
  </si>
  <si>
    <t xml:space="preserve"> 2 02 30000 00 0000 150</t>
  </si>
  <si>
    <t xml:space="preserve"> 2 02 30021 00 0000 150</t>
  </si>
  <si>
    <t xml:space="preserve"> 2 02 30021 05 0000 150</t>
  </si>
  <si>
    <t xml:space="preserve"> 2 02 30024 00 0000 150</t>
  </si>
  <si>
    <t xml:space="preserve"> 2 02 30024 05 0000 150</t>
  </si>
  <si>
    <t xml:space="preserve"> 2 02 35120 00 0000 150</t>
  </si>
  <si>
    <t xml:space="preserve"> 2 02 35120 05 0000 150</t>
  </si>
  <si>
    <t xml:space="preserve"> 2 02 39999 00 0000 150</t>
  </si>
  <si>
    <t xml:space="preserve"> 2 02 39999 05 0000 150</t>
  </si>
  <si>
    <t xml:space="preserve"> 2 02 40000 00 0000 150</t>
  </si>
  <si>
    <t xml:space="preserve"> 2 02 40014 00 0000 150</t>
  </si>
  <si>
    <t xml:space="preserve"> 2 02 40014 05 0000 150</t>
  </si>
  <si>
    <t xml:space="preserve"> 2 02 49999 00 0000 150</t>
  </si>
  <si>
    <t xml:space="preserve"> 2 02 49999 05 0000 150</t>
  </si>
  <si>
    <t xml:space="preserve"> 2 02 27112 00 0000 150</t>
  </si>
  <si>
    <t xml:space="preserve"> 2 02 27112 05 0000 150</t>
  </si>
  <si>
    <t>Подготовка проектов межевания и проведение кадастровых работ в отношении земельных участков, выделяемых в счет земельных долей</t>
  </si>
  <si>
    <t>Выплата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</si>
  <si>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</si>
  <si>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Финансовое обеспечение получения дошкольного образования в муниципальных образовательных организациях</t>
  </si>
  <si>
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</si>
  <si>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Осуществление государственных полномочий по хранению, комплектованию, учету и использованию архивных документов Республики Бурятия</t>
  </si>
  <si>
    <t>Администрирование передаваемых органам местного самоуправления государственных полномочий по организации и обеспечению отдыха и оздоровления детей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</si>
  <si>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«О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образования»</t>
  </si>
  <si>
    <t>Частичная компенсация дополнительных расходов на повышение оплаты труда работников бюджетной сферы в связи с увеличением минимального размера оплаты труда с 1 января 2018 года и 1 мая 2018 года</t>
  </si>
  <si>
    <t>503622,4</t>
  </si>
  <si>
    <t>295</t>
  </si>
  <si>
    <t>1500</t>
  </si>
  <si>
    <t>8120500000</t>
  </si>
  <si>
    <t>100</t>
  </si>
  <si>
    <t>8110000000</t>
  </si>
  <si>
    <t>Подпрограмма "Развитие малого и среднего предпринимательства в Закаменского районе"</t>
  </si>
  <si>
    <t>Основное мероприятие "Проведение отраслевых конкурсов, конкурсов профессионального мастерства в сфере среднего и малого предпринимательства "Мастер года"</t>
  </si>
  <si>
    <t>8110400000</t>
  </si>
  <si>
    <t>8110482080</t>
  </si>
  <si>
    <t>Проведение мероприятий в сфере среднего и малого предпринимательства</t>
  </si>
  <si>
    <t>7210682070</t>
  </si>
  <si>
    <t>Основное мероприятие "Реализация проекта "Захааминай малшад-нютагай баялиг (Закамна - край крепких фермеров)"</t>
  </si>
  <si>
    <t>811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</si>
  <si>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</si>
  <si>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000 01 00 00 00 00 0000 000</t>
  </si>
  <si>
    <t>Источники  внутреннего финансирования  дефицитов  бюджетов</t>
  </si>
  <si>
    <t>Приложение 1</t>
  </si>
  <si>
    <t>2 02 27112 05 0000 150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</si>
  <si>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</si>
  <si>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Субвенции бюджетам муниципальных районов на выполнение передаваемых полномочий субъектов Российской Федерации</t>
  </si>
  <si>
    <t>2 03 05010 05 0000 150</t>
  </si>
  <si>
    <t>2 03 05099 05 0000 150</t>
  </si>
  <si>
    <t>2 07 05030 05 0000 150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</si>
  <si>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</si>
  <si>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</si>
  <si>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Субсидия бюджетам муниципальных районов на поддержку отрасли культуры</t>
  </si>
  <si>
    <t>Приложение 2</t>
  </si>
  <si>
    <t>на мероприятия по обеспечению деятельности по охране правопорядка и общественной безопасности</t>
  </si>
  <si>
    <t>Муниципальное казенное учреждение "Управление сельского хозяйства" муниципального образования "Закаменский район"</t>
  </si>
  <si>
    <t>922</t>
  </si>
  <si>
    <t>979</t>
  </si>
  <si>
    <t>Муниципальное казенное учреждение "Отдел по делам молодежи, физической культуры и спорта" Администрации муниципального образования "Закаменский район"</t>
  </si>
  <si>
    <t xml:space="preserve">       Муниципальное казенное учреждение "Отдел по делам молодежи, физической культуры и спорта" Администрации муниципального образования "Закаменский район"</t>
  </si>
  <si>
    <t xml:space="preserve">       Муниципальное казенное учреждение "Управление сельского хозяйства" муниципального образования "Закаменский район"</t>
  </si>
  <si>
    <r>
      <t>Основное мероприятие "Обеспечение сохранности, пополнения и использования библиотечных фондов и создание условий для улучшения доступа граждан к информации</t>
    </r>
    <r>
      <rPr>
        <b/>
        <sz val="10"/>
        <rFont val="Arial Cyr"/>
        <charset val="204"/>
      </rPr>
      <t>"</t>
    </r>
    <r>
      <rPr>
        <sz val="10"/>
        <rFont val="Arial Cyr"/>
        <family val="2"/>
        <charset val="204"/>
      </rPr>
      <t xml:space="preserve"> </t>
    </r>
  </si>
  <si>
    <t>9990082090</t>
  </si>
  <si>
    <t>Приобретение оргтехники, программных и аппаратных средств для оснащения рабочих мест</t>
  </si>
  <si>
    <t>7110182090</t>
  </si>
  <si>
    <t>Субсидии бюджетам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</si>
  <si>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муниципальных районов на мероприятия федеральной целевой программы "Развитие водохозяйственного комплекса Российской Федерации в 2012 - 2020 годах"</t>
  </si>
  <si>
    <t>на создание и модернизацию учреждений культурно-досугового типа в сельской местности</t>
  </si>
  <si>
    <t>на приобретение многофункционального передвижного культурного центра (автоклуба)</t>
  </si>
  <si>
    <t xml:space="preserve"> 2 02 25016 00 0000 150</t>
  </si>
  <si>
    <t xml:space="preserve"> 2 02 25016 05 0000 150</t>
  </si>
  <si>
    <t>Субсидии бюджетам на реализацию программ формирования современной городской среды</t>
  </si>
  <si>
    <t>Субсидии бюджетам муниципальных районов на реализацию программ формирования современной городской среды</t>
  </si>
  <si>
    <t xml:space="preserve"> 2 03 00000 00 0000 000</t>
  </si>
  <si>
    <t>2 03 05000 05 0000 150</t>
  </si>
  <si>
    <t>Безвозмездные поступления от государственных (муниципальных) организаций в бюджеты муниципальных районов</t>
  </si>
  <si>
    <t>Прочие безвозмездные поступления от государственных (муниципальных) организаций в бюджеты муниципальных районов</t>
  </si>
  <si>
    <t>2 07 05000 05 0000 150</t>
  </si>
  <si>
    <t xml:space="preserve"> 2 19 60010 05 0000 150</t>
  </si>
  <si>
    <t>73203S2140</t>
  </si>
  <si>
    <t>7320500000</t>
  </si>
  <si>
    <t>73205S2140</t>
  </si>
  <si>
    <t>Основное мероприятие "Реконструкция и строительство объектов учреждений культуры"</t>
  </si>
  <si>
    <t>Капитальный ремонт здания "Гимназии" г. Закаменск</t>
  </si>
  <si>
    <t>Капитальный ремонт здания МБДОУ детский сад № 15 "Туяна"</t>
  </si>
  <si>
    <t>Капитальный ремонт здания   МБОУ "СОШ № 4 г. Закаменск"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</si>
  <si>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</si>
  <si>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99900S2Б10</t>
  </si>
  <si>
    <t xml:space="preserve"> Оформление технических планов для постановки объектов бесхозяйного недвижимого имущества на кадастровый учет</t>
  </si>
  <si>
    <t>7320400000</t>
  </si>
  <si>
    <t>73204L5190</t>
  </si>
  <si>
    <t>Основное мероприятие "Приобретение многофункционального передвижного культурного центра (автоклуба)"</t>
  </si>
  <si>
    <t>73201L4670</t>
  </si>
  <si>
    <t xml:space="preserve"> Основное мероприятие "Материально-техническое обеспечение муниципальных учреждений культуры Закаменского района"</t>
  </si>
  <si>
    <t xml:space="preserve"> Обеспечение развития и укрепления материально-технической базы домов культуры в населенных пунктах с числом жителей до 50 тысяч человек</t>
  </si>
  <si>
    <t>9990074330</t>
  </si>
  <si>
    <t xml:space="preserve"> 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</si>
  <si>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8200882460</t>
  </si>
  <si>
    <t>Капитальный ремонт, строительство и реконструкция объектов муниципальной собственности, в том числе разработка ПСД</t>
  </si>
  <si>
    <t>Создание условий для организации трудоустройства несовершеннолетних граждан</t>
  </si>
  <si>
    <t>9990082110</t>
  </si>
  <si>
    <t>9990082830</t>
  </si>
  <si>
    <t>9990082470</t>
  </si>
  <si>
    <t>На оплату труда обслуживающего персонала муниципальных общеобразовательных организаций</t>
  </si>
  <si>
    <t xml:space="preserve"> 2 02 45505 00 0000 150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</si>
  <si>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</si>
  <si>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 2 02 45505 05 0000 150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</si>
  <si>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</si>
  <si>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на обеспечение сбалансированности местных бюджетов по социально значимым и первоочередным расходам</t>
  </si>
  <si>
    <t>9990072Б90</t>
  </si>
  <si>
    <t>Частичная компенсация дополнительных расходов на повышение оплаты труда работников бюджетной сферы в связи с увеличением минимального размера оплаты труда с 1 января 2019</t>
  </si>
  <si>
    <t>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деятельности; развитие сферы образования, культуры, в том числе проведение этнокультурных мероприятий, и медицинского обслуживания коренных малочисленных народов; развитие и модернизацию инфраструктуры и информационно -коммуникационных ресурсов в местах традиционного проживания и традиционной хозяйственной деятельности коренных малочисленных народов</t>
  </si>
  <si>
    <t xml:space="preserve">Частичная компенсация дополнительных расходов на повышение оплаты труда работников бюджетной сферы в связи с увеличением минимального размера оплаты труда с 1 января 2019 года </t>
  </si>
  <si>
    <t>7310272Б90</t>
  </si>
  <si>
    <t>Частичная компенсация дополнительных расходов на повышение оплаты труда работников бюджетной сферы в связи с увеличением минимального размера оплаты труда с 1 января 2019 года</t>
  </si>
  <si>
    <t>7810172Б90</t>
  </si>
  <si>
    <t>74001L5151</t>
  </si>
  <si>
    <t>7510372Б90</t>
  </si>
  <si>
    <t>7120272Б90</t>
  </si>
  <si>
    <t>9990084050</t>
  </si>
  <si>
    <t>Осуществление полномочий в сфере закупок</t>
  </si>
  <si>
    <t>9990084060</t>
  </si>
  <si>
    <t>Гранты юридическим лицам (кроме некоммерческих организаций), индивидуальным предпринимателям</t>
  </si>
  <si>
    <t>8521300000</t>
  </si>
  <si>
    <t>Капитальный ремонт здания "СОШ №5г. Закаменск"</t>
  </si>
  <si>
    <t>Муниципальная программа "Профилактика инфекций, передающихся клещами на 2019-2023 годы"</t>
  </si>
  <si>
    <t>7700600000</t>
  </si>
  <si>
    <t>7700682900</t>
  </si>
  <si>
    <t>99900P0200</t>
  </si>
  <si>
    <t xml:space="preserve">   Основное мероприятие "Вакцинация детей от 4 - до 17 лет"</t>
  </si>
  <si>
    <t xml:space="preserve"> 2 02 20299 00 0000 150</t>
  </si>
  <si>
    <t xml:space="preserve"> 2 02 20299 05 0000 150</t>
  </si>
  <si>
    <t xml:space="preserve">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</si>
  <si>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</si>
  <si>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2 02 20302 05 0000 150</t>
  </si>
  <si>
    <t>Обустройство муниципальных дошкольных образовательных организаций теплыми туалетными комнатами</t>
  </si>
  <si>
    <t>99900S2В60</t>
  </si>
  <si>
    <t>Обеспечение сбалансированности местных бюджетов по социально значимым и первоочередным расходам</t>
  </si>
  <si>
    <t>99900S2Г10</t>
  </si>
  <si>
    <t>78201S2В60</t>
  </si>
  <si>
    <t>75103S2В60</t>
  </si>
  <si>
    <t>8600000000</t>
  </si>
  <si>
    <t>860F300000</t>
  </si>
  <si>
    <t>860F367483</t>
  </si>
  <si>
    <t>860F367484</t>
  </si>
  <si>
    <t>860F36748S</t>
  </si>
  <si>
    <t>на осуществление отдельного государственного полномочия по поддержке сельского хозяйства</t>
  </si>
  <si>
    <t>на администрирование передаваемого отдельного государственного полномочия по поддержке сельского хозяйства</t>
  </si>
  <si>
    <t>ГРБС, ПБС</t>
  </si>
  <si>
    <t>73102S2270</t>
  </si>
  <si>
    <t>73103S2340</t>
  </si>
  <si>
    <t>73101S2340</t>
  </si>
  <si>
    <t>99900S21Д0</t>
  </si>
  <si>
    <t>732А100000</t>
  </si>
  <si>
    <t>"Федеральный проект "Культурная среда"</t>
  </si>
  <si>
    <t>732А155190</t>
  </si>
  <si>
    <t>Государственная поддержка отрасли культуры</t>
  </si>
  <si>
    <t>на обеспечение муниципальных дошкольных и общеобразовательных организаций педагогическими работниками</t>
  </si>
  <si>
    <t>Обеспечение муниципальных дошкольных и общеобразовательных организаций педагогическими работниками</t>
  </si>
  <si>
    <t>Транспорт</t>
  </si>
  <si>
    <t>.0408</t>
  </si>
  <si>
    <t>0408</t>
  </si>
  <si>
    <t>7400300000</t>
  </si>
  <si>
    <t>Основное мероприятие "Мероприятия по поддержке экономического и социального развития коренных малочисленных народов Севера, Сибири и Дальнего Востока РФ (общинам коренных малочисленных народов РФ, индивидуальным предпринимателям, муниципальным бюджетным учреждениям,  муниципальным казенным учреждениям,автономным учреждениям</t>
  </si>
  <si>
    <t>74003L5151</t>
  </si>
  <si>
    <t>8700000000</t>
  </si>
  <si>
    <t>8700500000</t>
  </si>
  <si>
    <t>8700582470</t>
  </si>
  <si>
    <t>Основное мероприятие "Организация и проведение конкурсов среди территориальных общественных самоуправлений МО "Закаменский район""</t>
  </si>
  <si>
    <t>Районный конкурс "Лучшее территориальное общественное самоуправление"</t>
  </si>
  <si>
    <t>Основное мероприятие "Оформление технических планов для постановки объектов бесхозяйного недвижимого имущества на кадастровый учет"</t>
  </si>
  <si>
    <t>Оформление технических планов для постановки объектов бесхозяйного недвижимого имущества на кадастровый учет</t>
  </si>
  <si>
    <t>81305S2Б10</t>
  </si>
  <si>
    <t>8120400000</t>
  </si>
  <si>
    <t>Межбюджетные трансферты общего характера бюджетам бюджетной системы Российской Федерации</t>
  </si>
  <si>
    <t>на внесение изменений в документацию территориального планирования и градостроительного зонирования муниципальных образований в Республике Бурятия</t>
  </si>
  <si>
    <t>на выполнение расходных обязательств муниципальных образований на обустройство объектов размещения твердых коммунальных отходов</t>
  </si>
  <si>
    <t>субсидии муниципальным учреждениям, реализующим программы спортивной подготовки</t>
  </si>
  <si>
    <t>на увеличение охвата детей дополнительным образованием</t>
  </si>
  <si>
    <t>на оплату труда обслуживающего персонала муниципальных общеобразовательных организаций</t>
  </si>
  <si>
    <t>на 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</si>
  <si>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на комплектование книжных фондов муниципальных библиотек</t>
  </si>
  <si>
    <t>на приобретение спортивного инвентаря для оснащения спортивно – досуговых центров в муниципальных образованиях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</si>
  <si>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</si>
  <si>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2 02 27372 00 0000 150</t>
  </si>
  <si>
    <t xml:space="preserve"> 2 02 27372 05 0000 150</t>
  </si>
  <si>
    <t>2 02 27372 05 0000 150</t>
  </si>
  <si>
    <t>412</t>
  </si>
  <si>
    <t>99900L3720</t>
  </si>
  <si>
    <t>75103S2E90</t>
  </si>
  <si>
    <t>Субсидии муниципальным учреждениям, реализующим программы спортивной подготовки</t>
  </si>
  <si>
    <t>Комплектование книжных фондов муниципальных библиотек</t>
  </si>
  <si>
    <t>Другие вопросы в области охраны окружающей среды</t>
  </si>
  <si>
    <t>99900S2Д10</t>
  </si>
  <si>
    <t>99900S2Д20</t>
  </si>
  <si>
    <t>Содержание объектов размещения твердых коммунальных отходов</t>
  </si>
  <si>
    <t>Обустройство объектов размещения твердых коммунальных отходов</t>
  </si>
  <si>
    <t>.06</t>
  </si>
  <si>
    <t>.0605</t>
  </si>
  <si>
    <t>78101S2160</t>
  </si>
  <si>
    <t>Приобретение спортивного инвентаря для оснащения спортивно-досуговых центров в муниципальных образованиях</t>
  </si>
  <si>
    <t>0605</t>
  </si>
  <si>
    <t>73103S2160</t>
  </si>
  <si>
    <t>БЕЗВОЗМЕЗДНЫЕ ПОСТУПЛЕНИЯ ОТ ГОСУДАРСТВЕННЫХ (МУНИЦИПАЛЬНЫХ) ОРГАНИЗАЦИЙ</t>
  </si>
  <si>
    <t>подъезд сан</t>
  </si>
  <si>
    <t>под сан дац</t>
  </si>
  <si>
    <t>рб</t>
  </si>
  <si>
    <t>фб</t>
  </si>
  <si>
    <t>8110100000</t>
  </si>
  <si>
    <t>Основное мероприятие "Организация и проведение выставок, ярмарок товаров и услуг местных товаропроизводителей"</t>
  </si>
  <si>
    <t>8110182080</t>
  </si>
  <si>
    <t>8110200000</t>
  </si>
  <si>
    <t>8110282080</t>
  </si>
  <si>
    <t>Основное мероприятие "Проведение семинаров, мастер-классов, конференций, тренингов, "круглые столы""</t>
  </si>
  <si>
    <t>8110300000</t>
  </si>
  <si>
    <t>8110382080</t>
  </si>
  <si>
    <t>Основное мероприятие "Проведение дня российского предпринимателя, дня торговли"</t>
  </si>
  <si>
    <t>8120282960</t>
  </si>
  <si>
    <t>Мероприятия, направленные на развитие туризма</t>
  </si>
  <si>
    <t>8120482960</t>
  </si>
  <si>
    <t>8120582960</t>
  </si>
  <si>
    <t>7310172E70</t>
  </si>
  <si>
    <t>732A000000</t>
  </si>
  <si>
    <t>Национальный проект "Культура"</t>
  </si>
  <si>
    <t>78201S2В40</t>
  </si>
  <si>
    <t>Национальный проект "Жилье и городская среда"</t>
  </si>
  <si>
    <t>350</t>
  </si>
  <si>
    <t>Премии и гранты</t>
  </si>
  <si>
    <t>1105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</si>
  <si>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</si>
  <si>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На организацию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</t>
  </si>
  <si>
    <t>Прочие субвенции бюджетам муниципальных районов</t>
  </si>
  <si>
    <t>Прочие субвенции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</si>
  <si>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</si>
  <si>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</si>
  <si>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Администрирование передаваемого отдельного государственного полномочия по организации и обеспечению отдыха и оздоровления детей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</si>
  <si>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</si>
  <si>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образований на ежемесячное денежное вознаграждение за классное руководство</t>
  </si>
  <si>
    <t>Субвенции бюджетам бюджетной системы Российской Федерации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</si>
  <si>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</si>
  <si>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бюджетной системы Российской Федерации (межбюджетные субсидии)</t>
  </si>
  <si>
    <t>Дотации бюджетам на выравнивание бюджетной обеспеченности</t>
  </si>
  <si>
    <t>Дотации бюджетам бюджетной системы Российской Федерации</t>
  </si>
  <si>
    <t>830F200000</t>
  </si>
  <si>
    <t>830F000000</t>
  </si>
  <si>
    <t>860F000000</t>
  </si>
  <si>
    <t>830F255550</t>
  </si>
  <si>
    <t>8120300000</t>
  </si>
  <si>
    <t>81203S2610</t>
  </si>
  <si>
    <t>Благоустройство территорий, прилегающих к местам туристского показа в муниципальных образованиях в Республике Бурятия</t>
  </si>
  <si>
    <t>8120600000</t>
  </si>
  <si>
    <t>8120682960</t>
  </si>
  <si>
    <t>9990082130</t>
  </si>
  <si>
    <t>Спорт высших достижений</t>
  </si>
  <si>
    <t>1103</t>
  </si>
  <si>
    <t>7120282140</t>
  </si>
  <si>
    <t>гп</t>
  </si>
  <si>
    <t>сп</t>
  </si>
  <si>
    <t>9990082150</t>
  </si>
  <si>
    <t xml:space="preserve"> 2 02 25219 00 0000 150</t>
  </si>
  <si>
    <t xml:space="preserve"> 2 02 25219 05 0000 150</t>
  </si>
  <si>
    <t>Субсидии бюджетам муниципальных районов на создание центров цифрового образования детей</t>
  </si>
  <si>
    <t>Субсидии бюджетам на создание центров цифрового образования детей</t>
  </si>
  <si>
    <t xml:space="preserve"> 2 02 25255 00 0000 150</t>
  </si>
  <si>
    <t xml:space="preserve"> 2 02 25255 05 0000 150</t>
  </si>
  <si>
    <t>2 02 25255 05 0000 150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</si>
  <si>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</si>
  <si>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</si>
  <si>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На создание центров цифрового образования детей</t>
  </si>
  <si>
    <t>финанс рб</t>
  </si>
  <si>
    <t xml:space="preserve"> 2 02 45424 00 0000 150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</si>
  <si>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</si>
  <si>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2 02 45424 05 0000 150</t>
  </si>
  <si>
    <t>Межбюджетные трансферты, передаваемые бюджетам муниципальных районов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</si>
  <si>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Муниципальная программа "Развитие сельскохозяйственной потребительской кооперации в муниципальном образовании "Закаменский район" Республики Бурятия на 2018-2023 годы"</t>
  </si>
  <si>
    <t>Основное мероприятие "Организация и поддержка рынков сбыта сельскохозяйственной потребительской кооперации"</t>
  </si>
  <si>
    <t>8800582070</t>
  </si>
  <si>
    <t>8800000000</t>
  </si>
  <si>
    <t>8800500000</t>
  </si>
  <si>
    <t>Основное мероприятие "Материально-техническое обеспечение МАОУ ДОД "Закамеская ДШИ""</t>
  </si>
  <si>
    <t>7320200000</t>
  </si>
  <si>
    <t>Основное мероприятие "Создание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деятельности; развитию сферы образования, культуры, в том числе проведение этнокультурных мероприятий, и медицинского обслуживания коренных малочисленных народов; развитию и модернизации инфраструктуры и информационно-коммуникационных ресурсов в местах традиционного проживания и традиционной хозяйственной деятельности коренных малочисленных народов"</t>
  </si>
  <si>
    <t>7320300000</t>
  </si>
  <si>
    <t xml:space="preserve"> Основное мероприятие "Капитальный ремонт муниципальных учреждений культуры района"</t>
  </si>
  <si>
    <t>830F254240</t>
  </si>
  <si>
    <t>71202S2160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</si>
  <si>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</si>
  <si>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</si>
  <si>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78504S2590</t>
  </si>
  <si>
    <t xml:space="preserve"> Основное мероприятие "Приобретение автобусов для перевозки детей"</t>
  </si>
  <si>
    <t xml:space="preserve"> Приобретение школьных автобусов для перевозки учащихся муниципальных общеобразовательных организаций</t>
  </si>
  <si>
    <t>88</t>
  </si>
  <si>
    <t>Муниципальная программа "Комплексное развитие сельских территорий Муниципального образования "Закаменский район" на 2020-2022 годы и на период до 2024 года"</t>
  </si>
  <si>
    <t>8900000000</t>
  </si>
  <si>
    <t>8900200000</t>
  </si>
  <si>
    <t>89</t>
  </si>
  <si>
    <t xml:space="preserve"> 2 02 25576 00 0000 150</t>
  </si>
  <si>
    <t xml:space="preserve"> 2 02 25576 05 0000 150</t>
  </si>
  <si>
    <t xml:space="preserve">Субсидии бюджетам муниципальных районов на обеспечение комплексного развития сельских территорий
</t>
  </si>
  <si>
    <t>2 02 25576 05 0000 150</t>
  </si>
  <si>
    <t>Основное мероприятие "Капитальный ремонт муниципальных учреждений культуры района"</t>
  </si>
  <si>
    <t>Капитальный ремонт гидротехнических сооружений, в том числе разработка проектно-сметной документации</t>
  </si>
  <si>
    <t xml:space="preserve"> 2 02 45303 00 0000 150</t>
  </si>
  <si>
    <t xml:space="preserve"> 2 02 45303 05 0000 150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</si>
  <si>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</si>
  <si>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</si>
  <si>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на организацию разъяснительной работы и информирование граждан российской федерации о подготовке и проведении общероссийского голосования по внесению изменений в Конституцию Российской Федерации </t>
  </si>
  <si>
    <t xml:space="preserve">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</si>
  <si>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</si>
  <si>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</si>
  <si>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</si>
  <si>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</si>
  <si>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</si>
  <si>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</si>
  <si>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мероприятий по предотвращению распространения новой коронавирусной инфекции при проведении муниципальных выборов</t>
  </si>
  <si>
    <t>99900Р0100</t>
  </si>
  <si>
    <t>Резервный фонд финансирования непредвиденных расходов Правительства Республики Бурятия</t>
  </si>
  <si>
    <t>Первоочередные расходы</t>
  </si>
  <si>
    <t>Организация горячего питания обучающихся, получающих основное общее, среднее общее образование в муниципальных образовательных организациях</t>
  </si>
  <si>
    <t xml:space="preserve"> Финансовое обеспечение расходных обязательств муниципальных образований,связанных с решением социально значимых вопросов местного значения</t>
  </si>
  <si>
    <t xml:space="preserve"> 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</si>
  <si>
    <t xml:space="preserve">            Резервный фонд финансирования непредвиденных расходов Правительства Республики Бурятия</t>
  </si>
  <si>
    <t>999W074430</t>
  </si>
  <si>
    <t>999W158530</t>
  </si>
  <si>
    <t>999W0P0110</t>
  </si>
  <si>
    <t>85213L0160</t>
  </si>
  <si>
    <t>Муниципальная программа "Экологическая безопасность в муниципальном образовании "Закаменский район""</t>
  </si>
  <si>
    <t>Основное мероприятие "Обустройство объекта размещения ТКО"</t>
  </si>
  <si>
    <t>Основное мероприятие "Содержание объекта размещения ТКО"</t>
  </si>
  <si>
    <t>80002S2Д20</t>
  </si>
  <si>
    <t>80006S2Д10</t>
  </si>
  <si>
    <t>Основное мероприятие "Реализация проектов по благоустройству сельских территорий (создание и обустройство некоммерческих детских игровых и спортивных площадок)"</t>
  </si>
  <si>
    <t>на осуществление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</si>
  <si>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на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</si>
  <si>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Софинансирование расходных обязательств муниципальных районов (городских округов) на содержание и обеспечение деятельности (оказание услуг) муниципальных учреждений</t>
  </si>
  <si>
    <t>Закупка энергетических ресурсов</t>
  </si>
  <si>
    <t>Основное мероприятие "Развитие сети плоскостных спортивных сооружений на сельских территориях"</t>
  </si>
  <si>
    <t>Основное мероприятие "Мероприятия, направленные на материальное стимулирование работников сельскохозяственного производства, проведение районного праздника "День работника сельского хозяйства, пищевой и перерабатывающей промышленности"</t>
  </si>
  <si>
    <t>8900300000</t>
  </si>
  <si>
    <t>8900400000</t>
  </si>
  <si>
    <t>85210S2080</t>
  </si>
  <si>
    <t>85211S2080</t>
  </si>
  <si>
    <t>1 чтение</t>
  </si>
  <si>
    <t>на организацию горячего питания обучающихся, получающих основное общее, среднее общее образование в муниципальных образовательных организациях</t>
  </si>
  <si>
    <t xml:space="preserve">на 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 </t>
  </si>
  <si>
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</si>
  <si>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Администрирование отдельного государственного полномочия на капитальный (текущий) ремонт и содержание сибиреязвенных захоронений и скотомогильников (биотермических ям)</t>
  </si>
  <si>
    <t>Основное мероприятие "Создание модельных муниципальных библиотек"</t>
  </si>
  <si>
    <t>Основное мероприятие "Создание виртуального концертного зала"</t>
  </si>
  <si>
    <t>732А154540</t>
  </si>
  <si>
    <t>Создание модельных муниципальных библиотек</t>
  </si>
  <si>
    <t>732А300000</t>
  </si>
  <si>
    <t>732А354530</t>
  </si>
  <si>
    <t>"Федеральный проект "Цифровая культура"</t>
  </si>
  <si>
    <t>Создание виртуальных концертных залов</t>
  </si>
  <si>
    <t>99900S2160</t>
  </si>
  <si>
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</si>
  <si>
    <t>Основное мероприятие "Проведение профессиональных праздников СМП"</t>
  </si>
  <si>
    <t>Основное мероприятие "Проведение семинаров, мастер-классов, конференций, тренингов, круглых столов"</t>
  </si>
  <si>
    <t>Основное мероприятие "Проведение государственной экспертизы достоверности определения сметной стоимости"</t>
  </si>
  <si>
    <t>Основное мероприятие "Благоустройство территорий, прилегающих к местам туристического показа"</t>
  </si>
  <si>
    <t xml:space="preserve">  Основное мероприятие "Разработка и реализация инвестиционного проекта "Парк религиозно-познавательного туризма "Арьяа Баала""</t>
  </si>
  <si>
    <t>Основное мероприятие "Участие в конкурсах и грантах в сфере развития туризма"</t>
  </si>
  <si>
    <t>Основное мероприятие "Проведение кадастровых работ по выделу земельных участков в счет земельных долей, находящихся в муниципальной собственности"</t>
  </si>
  <si>
    <t>Основное мероприятие "Мероприятия направленные на эффективное использование муниципальной собственности (земля, имущество), проведение кадастровых работ (подготовка межевых и технических планов), проведение оценки имущества, земельных участков, страхование транспортных средств, взносы на капитальный ремонт"</t>
  </si>
  <si>
    <t>Подпрограмма "Развитие трудовых отношений в Закаменском районе"</t>
  </si>
  <si>
    <t>Основное мероприятие "Организация оплачиваемых общественных работ"</t>
  </si>
  <si>
    <t>Проведение общественных работ</t>
  </si>
  <si>
    <t>Подпрограмма "Создание условий для экономического развития"</t>
  </si>
  <si>
    <t>Основное мероприятие "Повышение качества управления финансами"</t>
  </si>
  <si>
    <t>Мероприятия, направленные на комплексное развитие сельских территорий</t>
  </si>
  <si>
    <t>Основное мероприятие "Современный облик сельских территорий"</t>
  </si>
  <si>
    <t>Обеспечение комплексного развития сельских территорий</t>
  </si>
  <si>
    <t>89005L5760</t>
  </si>
  <si>
    <t>8900500000</t>
  </si>
  <si>
    <t>Основное мероприятие "Разработка проектно-сметной документации по объекту "Капитальный ремонт дамбы обвалования на р.Модонкуль Закаменского района"</t>
  </si>
  <si>
    <t>ФБ</t>
  </si>
  <si>
    <t>99900S2860</t>
  </si>
  <si>
    <t xml:space="preserve"> 2 02 25243 00 0000 150</t>
  </si>
  <si>
    <t xml:space="preserve"> 2 02 25243 05 0000 150</t>
  </si>
  <si>
    <t>2 02 25243 05 0000 150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</si>
  <si>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</si>
  <si>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</si>
  <si>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на обеспечение профессиональной переподготовки, повышения квалификации лиц, замещающих выборные муниципальные должности, и муниципальных служащих</t>
  </si>
  <si>
    <t>Муниципальная программа "Обеспечение безопасности жизнедеятельности населения на территории Закаменского района на 2021-2023 годы и на период до 2026 года"</t>
  </si>
  <si>
    <t xml:space="preserve"> Основное мероприятие "Развитие сети плоскостных спортивных сооружений на сельских территориях"</t>
  </si>
  <si>
    <t>Муниципальная программа "Обеспечение безопасности жизнедеятельности населения на территории Закаменского района на 2021-2023 годы и на период до 2026года"</t>
  </si>
  <si>
    <t>Основное мероприятие "Оказание муниципальной услуги "Организация дошкольного образования"</t>
  </si>
  <si>
    <t>Основное мероприятие "Оказание муниципальной услуги "Реализация основных общеобразовательных программ начального, основного и среднего общего образования""</t>
  </si>
  <si>
    <t>78201L3040</t>
  </si>
  <si>
    <t>78201S2K90</t>
  </si>
  <si>
    <t>78201S2Л40</t>
  </si>
  <si>
    <t>Подпрограмма "Развитие кадровой политики образования"</t>
  </si>
  <si>
    <t>Основное мероприятие "Оказание муниципальной услуги "Развитие кадрового потенциала системы общего образования""</t>
  </si>
  <si>
    <t>78401S2890</t>
  </si>
  <si>
    <t>Подпрограмма "Развитие дополнительного образования"</t>
  </si>
  <si>
    <t>Основное мероприятие "Реализация образовательных программ дополнительного образования"</t>
  </si>
  <si>
    <t>78301S2120</t>
  </si>
  <si>
    <t>78301S2160</t>
  </si>
  <si>
    <t>Подпрограмма "Совершенствование муниципального управления в сфере образования в муниципальном образовании "Закаменский район""</t>
  </si>
  <si>
    <t>Основное мероприятие "Совершенствование управления системой образования"</t>
  </si>
  <si>
    <t>78501S2160</t>
  </si>
  <si>
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</si>
  <si>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Основное мероприятие "Предупреждение и ликвидация последствий чрезвычайных ситуаций на территории района"</t>
  </si>
  <si>
    <t>Подпрограмма "Развитие физической культуры, спорта"</t>
  </si>
  <si>
    <t>Муниципальная программа "Развитие инфраструктуры в Закаменском районе на 2015-2017 годы и на период до 2021 года"</t>
  </si>
  <si>
    <t>Подпрограмма "Повышение устойчивости жилых домов, основных объектов систем жизнеобеспечения"</t>
  </si>
  <si>
    <t>Подпрограмма "Развитие молодежной политики"</t>
  </si>
  <si>
    <t>Основное мероприятие "Организация и проведение мероприятий по гражданскому и духовному воспитанию молодежи, мероприятий с молодыми избирателями"</t>
  </si>
  <si>
    <t>Основное мероприятие "Мероприятия по поддержке талантливой молодежи"</t>
  </si>
  <si>
    <t>Основное мероприятие "Организация и проведение культурно-массовых мероприятий для молодежи"</t>
  </si>
  <si>
    <t>Основное мероприятие "Организация и проведение мероприятий по формированию здорового образа жизни, профилактике асоциальных явлений, развитию трудового молодежного движения"</t>
  </si>
  <si>
    <t>Подпрограмма "Обеспечение жильем молодых семей"</t>
  </si>
  <si>
    <t>Основное мероприятие "Обеспечение жильем молодых семей"</t>
  </si>
  <si>
    <t>Основное мероприятие "Организация и осуществление спортивно-массовых и оздоровительных мероприятий с различными группами населения"</t>
  </si>
  <si>
    <t>Основное мероприятие "Мероприятия по внедрению комплекса ГТО"</t>
  </si>
  <si>
    <t>Основное мероприятие "Выезд на Всероссийские, региональные, республиканские и районные соревнования детей подростков"</t>
  </si>
  <si>
    <t>Подпрограмма "Содержание инструкторов по физической культуре и спорту"</t>
  </si>
  <si>
    <t>Основное мероприятие "Содержание инструкторов по физической культуре и спорту"</t>
  </si>
  <si>
    <t>75201S2200</t>
  </si>
  <si>
    <t>Основное мероприятие "Содержание и обеспечение деятельности МБУ Спортивная школа "Закамна""</t>
  </si>
  <si>
    <t>75107S2E90</t>
  </si>
  <si>
    <t>000 1 14 02000 05 0000 400</t>
  </si>
  <si>
    <r>
      <t xml:space="preserve">     Основное мероприятие "Обеспечение сохранности, пополнения и использования библиотечных фондов и создание условий для улучшения доступа граждан к информации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 xml:space="preserve"> </t>
    </r>
  </si>
  <si>
    <t>МБ 171,1</t>
  </si>
  <si>
    <t>МБ 436,7</t>
  </si>
  <si>
    <t>Субсидии на софинансирование капитальных вложений в объекты муниципальной собственности (Строительство водозаборных сооружений и сетей холодного водоснабжения в г. Закаменск Закаменского района Республики Бурятия (в том числе разработка проектной и рабочей документации)</t>
  </si>
  <si>
    <t>6 583,2</t>
  </si>
  <si>
    <t>Субсидии на софинансирование капитальных вложений в объекты муниципальной собственности (Реконструкция сетей холодного водоснабжения в с. Холтосон Закаменского района Республики Бурятия (в том числе разработка проектной и рабочей документации)</t>
  </si>
  <si>
    <t>1 967,2</t>
  </si>
  <si>
    <t>Субсидии на софинансирование капитальных вложений в объекты муниципальной собственности (Строительство водозаборных сооружений и сетей холодного водоснабжения в с. Баянгол Закаменского района Республики Бурятия (в том числе разработка проектной и рабочей документации)</t>
  </si>
  <si>
    <t>2 310,7</t>
  </si>
  <si>
    <t>Муниципальная программа "Регулирование численности волков в муниципальном образовании "Закаменский район" Республики Бурятия на 2021-2025 годы"</t>
  </si>
  <si>
    <t>Основное мероприятие "Материальное стимулирование охотников за добычу волка"</t>
  </si>
  <si>
    <t>7Я00382070</t>
  </si>
  <si>
    <t>7Я00300000</t>
  </si>
  <si>
    <t>7Я00000000</t>
  </si>
  <si>
    <t>Муниципальная программа "Обеспечение пожарной безопасности в муниципальном образовании "Закаменский район" Республики Бурятия на 2021-2025 годы "</t>
  </si>
  <si>
    <t>Основное мероприятие "Реализация мер пожарной безопасности населенных пунктов, муниципальных учреждений образования, здравоохранения, социальной сферы, культуры и иных объектов с массовым пребыванием людей"</t>
  </si>
  <si>
    <t>Расходы на проведение мероприятий в области пожарной безопасности</t>
  </si>
  <si>
    <t>Основное мероприятие "Оборудование автоматическими пожарными извещателями мест проживания, многодетных семей, а также семей, находящихся в социально-опасном положении"</t>
  </si>
  <si>
    <t>Основное мероприятие "Реализация превентивных мер по обеспечению пожарной безопасности населенных пунктов, дачных и садоводческих товариществ, объектов экономики, подверженных угрозе перехода лесных пожаров"</t>
  </si>
  <si>
    <t>Основное мероприятие "Организация деятельности подразделений добровольной пожарной охраны"</t>
  </si>
  <si>
    <t>Основное мероприятие "Противопожарная пропаганда"</t>
  </si>
  <si>
    <t>80010S2810</t>
  </si>
  <si>
    <t>Основное мероприятие "Строительство очистных сооружений в г. Закаменск"</t>
  </si>
  <si>
    <t>Проектирование и строительство очистных сооружений</t>
  </si>
  <si>
    <t>Субсидии бюджетам на софинансирование капитальных вложений в объекты муниципальной собственности</t>
  </si>
  <si>
    <t xml:space="preserve"> 2 02 45453 00 0000 150</t>
  </si>
  <si>
    <t>Межбюджетные трансферты, передаваемые бюджетам на создание виртуальных концертных залов</t>
  </si>
  <si>
    <t xml:space="preserve"> 2 02 45453 05 0000 150</t>
  </si>
  <si>
    <t>Межбюджетные трансферты, передаваемые бюджетам муниципальных районов на создание виртуальных концертных залов</t>
  </si>
  <si>
    <t xml:space="preserve"> 2 02 45454 00 0000 150</t>
  </si>
  <si>
    <t>Межбюджетные трансферты, передаваемые бюджетам на создание модельных муниципальных библиотек</t>
  </si>
  <si>
    <t xml:space="preserve"> 2 02 45454 05 0000 150</t>
  </si>
  <si>
    <t>Межбюджетные трансферты, передаваемые бюджетам муниципальных районов на создание модельных муниципальных библиотек</t>
  </si>
  <si>
    <t>7Я00</t>
  </si>
  <si>
    <t>Муниципальная программа "Обеспечение пожарной безопасности в муниципальном образовании "Закаменский район" Республики Бурятия на 2021-2025 годы"</t>
  </si>
  <si>
    <t>99900S2020</t>
  </si>
  <si>
    <t>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</t>
  </si>
  <si>
    <t>реализация мероприятий по благоустройству сельских территорий</t>
  </si>
  <si>
    <t xml:space="preserve"> 2 02 35469 00 0000 150</t>
  </si>
  <si>
    <t>Субвенции бюджетам на проведение Всероссийской переписи населения 2020 года</t>
  </si>
  <si>
    <t xml:space="preserve"> 2 02 35469 05 0000 150</t>
  </si>
  <si>
    <t>Субвенции бюджетам муниципальных районов на проведение Всероссийской переписи населения 2020 года</t>
  </si>
  <si>
    <t>89002L5760</t>
  </si>
  <si>
    <t>73102S2160</t>
  </si>
  <si>
    <t>731А200000</t>
  </si>
  <si>
    <t>731А255190</t>
  </si>
  <si>
    <t>731A000000</t>
  </si>
  <si>
    <t>Софинансирование расходных обязательств муниципальных районов (городских округов)</t>
  </si>
  <si>
    <t>Основное мероприятие "Расходы на обеспечение пожарной безопасности и охраны окружающей среды"</t>
  </si>
  <si>
    <t>Мероприятия в области охраны окружающей среды</t>
  </si>
  <si>
    <t>75107S2160</t>
  </si>
  <si>
    <t xml:space="preserve"> Осуществление государственных полномочий Российской Федерации по проведению Всероссийской переписи населения 2020 года</t>
  </si>
  <si>
    <t>общ сумма расх</t>
  </si>
  <si>
    <t xml:space="preserve"> 731А200000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</si>
  <si>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</si>
  <si>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</si>
  <si>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 реализацию мероприятий регионального проекта "Социальная активность"</t>
  </si>
  <si>
    <t>782E200000</t>
  </si>
  <si>
    <t>782E250970</t>
  </si>
  <si>
    <t>Федеральный проект "Успех каждого ребенка"</t>
  </si>
  <si>
    <t>Основное мероприятие "Мероприятия, направленные на обеспечение функционирования МОУ, за исключением мероприятий, связанных с оказанием муниципальной услуги"</t>
  </si>
  <si>
    <t>Оснащение муниципальных образовательных организаций</t>
  </si>
  <si>
    <t xml:space="preserve"> Субсидии автономным учреждениям на иные цели</t>
  </si>
  <si>
    <t>99900S2В90</t>
  </si>
  <si>
    <t>76006Д2020</t>
  </si>
  <si>
    <t>76013Д2020</t>
  </si>
  <si>
    <t>Основное мероприятие "Утилизация отработанных ртутьсодержащих ламп"</t>
  </si>
  <si>
    <t>540 вр</t>
  </si>
  <si>
    <t>Подготовка и проведение празднования на федеральном уровне памятных дат субъектов Российской Федерации</t>
  </si>
  <si>
    <t>99900L5090</t>
  </si>
  <si>
    <t>85213L0653</t>
  </si>
  <si>
    <t>89006S21Д0</t>
  </si>
  <si>
    <t>8900600000</t>
  </si>
  <si>
    <t xml:space="preserve"> 2 02 25509 00 0000 150</t>
  </si>
  <si>
    <t>2 02 25509 00 0000 150</t>
  </si>
  <si>
    <t>Субсидии бюджетам на подготовку и проведение празднования на федеральном уровне памятных дат субъектов Российской Федерации</t>
  </si>
  <si>
    <t>Субсидии бюджетам муниципальных районов на подготовку и проведение празднования на федеральном уровне памятных дат субъектов Российской Федерации</t>
  </si>
  <si>
    <t>Уточненный бюджет от  22.10.2021</t>
  </si>
  <si>
    <t>За достижение показателей деятельности органов исполнительной власти Республики Бурятия</t>
  </si>
  <si>
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</si>
  <si>
    <t>11 001 595,20</t>
  </si>
  <si>
    <t>5 380 936,80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</si>
  <si>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</si>
  <si>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99900P0100</t>
  </si>
  <si>
    <t>Основное мероприятие "Подготовка и проведение празднования на федеральном уровне памятных дат субъектов Российской Федерации"</t>
  </si>
  <si>
    <t>73211L5090</t>
  </si>
  <si>
    <t>Субвенции местным бюджетам на организацию деятельности по обеспечению прав детей находящихся в трудной жизненной ситуации, на отдых и оздоровление (в загородных стационарных детских оздоровительных лагерях)</t>
  </si>
  <si>
    <t xml:space="preserve"> 2 02 25511 00 0000 150</t>
  </si>
  <si>
    <t>2 02 25511 00 0000 150</t>
  </si>
  <si>
    <t>Субсидии бюджетам на проведение комплексных кадастровых работ</t>
  </si>
  <si>
    <t>Субсидии бюджетам муниципальных районов на проведение комплексных кадастровых работ</t>
  </si>
  <si>
    <t>2 02 25219 05 0000 150</t>
  </si>
  <si>
    <t>на развитие транспортной инфраструктуры на сельских территориях</t>
  </si>
  <si>
    <t xml:space="preserve"> 2 02 25513 00 0000 150</t>
  </si>
  <si>
    <t xml:space="preserve"> 2 02 25513 05 0000 150</t>
  </si>
  <si>
    <t>2 02 25513 05 0000 150</t>
  </si>
  <si>
    <t>Субсидии бюджетам на развитие сети учреждений культурно-досугового типа</t>
  </si>
  <si>
    <t>НЕТ В 90н</t>
  </si>
  <si>
    <t>Субсидии бюджетам муниципальных районовна развитие сети учреждений культурно-досугового типа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</si>
  <si>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</si>
  <si>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муниципальных образований на мероприятия по обеспечению деятельности по охране правопорядка и общественной безопасности</t>
  </si>
  <si>
    <t>99900L5110</t>
  </si>
  <si>
    <t>Проведение комплексных кадастровых работ</t>
  </si>
  <si>
    <t>84001S2860</t>
  </si>
  <si>
    <t>84002S2860</t>
  </si>
  <si>
    <t>84003S2860</t>
  </si>
  <si>
    <t>840F000000</t>
  </si>
  <si>
    <t>840F500000</t>
  </si>
  <si>
    <t>840F552430</t>
  </si>
  <si>
    <t>783Е000000</t>
  </si>
  <si>
    <t>783Е400000</t>
  </si>
  <si>
    <t>783Е452190</t>
  </si>
  <si>
    <t>Национальный проект "Образование"</t>
  </si>
  <si>
    <t>Федеральный проект «Цифровая образовательная среда»</t>
  </si>
  <si>
    <t>89006L3720</t>
  </si>
  <si>
    <t>732A155130</t>
  </si>
  <si>
    <t>Развитие сети учреждений культурно-досугового типа</t>
  </si>
  <si>
    <t>Реализация мероприятий регионального проекта «Социальная активность»</t>
  </si>
  <si>
    <t>Строительство подъезда к с. Дархинтуй от автомобильной дороги Дутулур – Утата – Далахай в Закаменском районе Республики Бурятия</t>
  </si>
  <si>
    <t>89005S2М40</t>
  </si>
  <si>
    <t>сро</t>
  </si>
  <si>
    <t>Субсидии бюджетам на обеспечение комплексного развития сельских территорий</t>
  </si>
  <si>
    <t>Приложение 3</t>
  </si>
  <si>
    <t>соц</t>
  </si>
  <si>
    <t>100 00000 00 0000 000</t>
  </si>
  <si>
    <t>101 00000 00 0000 000</t>
  </si>
  <si>
    <t>101 02000 01 0000 110</t>
  </si>
  <si>
    <t>101 02010 01 0000 110</t>
  </si>
  <si>
    <t>101 02020 01 0000 110</t>
  </si>
  <si>
    <t>101 02030 01 0000 110</t>
  </si>
  <si>
    <t>101 02040 01 0000 110</t>
  </si>
  <si>
    <t>103 00000 00 0000 000</t>
  </si>
  <si>
    <t>105 00000 00 0000 000</t>
  </si>
  <si>
    <t>105 01000 02 0000 110</t>
  </si>
  <si>
    <t>105 03000 01 0000 110</t>
  </si>
  <si>
    <t>105 04000 02 0000 110</t>
  </si>
  <si>
    <t>108 00000 00 0000 000</t>
  </si>
  <si>
    <t>108 03010 01 0000 110</t>
  </si>
  <si>
    <t>111 00000 00 0000 000</t>
  </si>
  <si>
    <t>111 05030 00 0000 120</t>
  </si>
  <si>
    <t>112 00000 00 0000 000</t>
  </si>
  <si>
    <t>112 01000 01 0000 120</t>
  </si>
  <si>
    <t>114 00000 00 0000 000</t>
  </si>
  <si>
    <t>114 06010 00 0000 430</t>
  </si>
  <si>
    <t>114 06013 05 0000 430</t>
  </si>
  <si>
    <t>116 00000 00 0000 000</t>
  </si>
  <si>
    <t>надо поставить</t>
  </si>
  <si>
    <t>Субсидии бюджетам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</si>
  <si>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>Основное мероприятие "Проведение комплексных кадастровых работ"</t>
  </si>
  <si>
    <t>Муниципальная программа "Социально-экономическое развитие коренных малочисленных народов Севера, проживающих на территории муниципального образования "Закаменский район" "</t>
  </si>
  <si>
    <t>Основное мероприятие "Поддержка экономического и социального развития коренных малочисленных народов Севера, Сибири и Дальнего востока"</t>
  </si>
  <si>
    <t>Дотации бюджетам на поддержку мер по обеспечению сбалансированности бюджетов</t>
  </si>
  <si>
    <t>Мероприятия, посвященные празднованию юбилейных дат</t>
  </si>
  <si>
    <t>76014Д2020</t>
  </si>
  <si>
    <t>S2160</t>
  </si>
  <si>
    <t>S2В60</t>
  </si>
  <si>
    <t>Основное мероприятие "Организация общественных работ"</t>
  </si>
  <si>
    <t>Федеральный проект "Культурная среда"</t>
  </si>
  <si>
    <t>78201S2К90</t>
  </si>
  <si>
    <t>на развитие общественной инфраструктуры</t>
  </si>
  <si>
    <t>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</si>
  <si>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</si>
  <si>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2 02 25750 00 0000 150</t>
  </si>
  <si>
    <t>Субсидии бюджетам на реализацию мероприятий по модернизации школьных систем образования</t>
  </si>
  <si>
    <t xml:space="preserve"> 2 19 00000 05 0000 150</t>
  </si>
  <si>
    <t xml:space="preserve"> 2 19 27576 05 0000 150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</si>
  <si>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 из бюджетов муниципальных районов</t>
  </si>
  <si>
    <t>Основное мероприятие "Комплекс мероприятий, направленных на обеспечение функционирования МОУ, за исключением мероприятий, связанных с оказанием муниципальной услуги"</t>
  </si>
  <si>
    <t>Реализация мероприятий по модернизации школьных систем образования</t>
  </si>
  <si>
    <t>7Б00000000</t>
  </si>
  <si>
    <t>7Б00200000</t>
  </si>
  <si>
    <t>7Б00282980</t>
  </si>
  <si>
    <t>7Б00400000</t>
  </si>
  <si>
    <t>7Б00482980</t>
  </si>
  <si>
    <t>0,0</t>
  </si>
  <si>
    <t>Муниципальная программа "Сохранение и развитие родного языка "Турэл хэлэн - тушэг баялигнай" в Закаменском районе на 2022-2025 годы"</t>
  </si>
  <si>
    <t>Основное мероприятие "Создание языковой среды"</t>
  </si>
  <si>
    <t>Мероприятия, направленные на развитие и сохранение бурятского языка</t>
  </si>
  <si>
    <t xml:space="preserve"> Премии и гранты</t>
  </si>
  <si>
    <t>Основное мероприятие "Мероприятия, направленные на сохранение и развитие бурятского языка"</t>
  </si>
  <si>
    <t>7Б00</t>
  </si>
  <si>
    <t xml:space="preserve"> 2 02 25081 00 0000 150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</si>
  <si>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</si>
  <si>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2 02 25081 05 0000 150</t>
  </si>
  <si>
    <t>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</si>
  <si>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2 02 25081 05 0000 150</t>
  </si>
  <si>
    <t>на капитальный ремонт муниципальных дошкольных образовательных организаций</t>
  </si>
  <si>
    <t>реализация проекта "1000 дворов"</t>
  </si>
  <si>
    <t xml:space="preserve"> 2 02 25372 00 0000 150</t>
  </si>
  <si>
    <t xml:space="preserve"> 2 02 25372 05 0000 150</t>
  </si>
  <si>
    <t>2 02 25372 05 0000 150</t>
  </si>
  <si>
    <t>Субсидии бюджетам на развитие транспортной инфраструктуры на сельских территориях</t>
  </si>
  <si>
    <t>Субсидии бюджетам муниципальных районов на развитие транспортной инфраструктуры на сельских территориях</t>
  </si>
  <si>
    <t>81701S2160</t>
  </si>
  <si>
    <t>Оснащение муниципальных учреждений</t>
  </si>
  <si>
    <t>73101S2160</t>
  </si>
  <si>
    <t xml:space="preserve">            Мероприятия, посвященные празднованию юбилейных дат</t>
  </si>
  <si>
    <t>7Б00300000</t>
  </si>
  <si>
    <t>7Б00382980</t>
  </si>
  <si>
    <t>7Б00500000</t>
  </si>
  <si>
    <t xml:space="preserve">        Муниципальная программа "Сохранение и развитие родного языка "Турэл хэлэн - тушэг баялигнай" в Закаменском районе на 2022-2025 годы"</t>
  </si>
  <si>
    <t xml:space="preserve">          Основное мероприятие "Создание языковой среды"</t>
  </si>
  <si>
    <t xml:space="preserve">            Мероприятия, направленные на развитие и сохранение бурятского языка</t>
  </si>
  <si>
    <t xml:space="preserve">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</si>
  <si>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Основное мероприятие "Изучение и сохранение родного языка"</t>
  </si>
  <si>
    <t xml:space="preserve">          Основное мероприятие "Мероприятия, направленные на сохранение и развитие бурятского языка"</t>
  </si>
  <si>
    <t xml:space="preserve">              Субсидии бюджетным учреждениям на иные цели</t>
  </si>
  <si>
    <t>иные межбюджетные трансферты</t>
  </si>
  <si>
    <t xml:space="preserve">            Обеспечение комплексного развития сельских территорий</t>
  </si>
  <si>
    <t xml:space="preserve">              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</si>
  <si>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78501L7500</t>
  </si>
  <si>
    <t>7Э00000000</t>
  </si>
  <si>
    <t>7Э01200000</t>
  </si>
  <si>
    <t>7Э012S2980</t>
  </si>
  <si>
    <t xml:space="preserve">        Муниципальная программа "Энергосбережение и повышение энергетической эффективности на территории муниципального образования "Закаменский район" на 2022-2025 гг."</t>
  </si>
  <si>
    <t xml:space="preserve">          Основное мероприятие "Первоочередные мероприятия по модернизации, капитальному ремонту и подготовке к отопительному сезону"</t>
  </si>
  <si>
    <t xml:space="preserve">            Реализация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</si>
  <si>
    <t xml:space="preserve">              Субсидии автономным учреждениям на иные цели</t>
  </si>
  <si>
    <t xml:space="preserve">              Премии и гранты</t>
  </si>
  <si>
    <t>78501S2И60</t>
  </si>
  <si>
    <t xml:space="preserve">            Субсидии на капитальный ремонт муниципальных дошкольных образовательных организаций</t>
  </si>
  <si>
    <t>7Б00582980</t>
  </si>
  <si>
    <t xml:space="preserve">              Прочая закупка товаров, работ и услуг</t>
  </si>
  <si>
    <t xml:space="preserve">            Финансовая поддержка ТОС посредством республиканского конкурса «Лучшее территориальное общественное самоуправление»</t>
  </si>
  <si>
    <t>7Э01300000</t>
  </si>
  <si>
    <t>7Э013S2В90</t>
  </si>
  <si>
    <t>7Э01400000</t>
  </si>
  <si>
    <t>7Э014S2010</t>
  </si>
  <si>
    <t xml:space="preserve">          Основное мероприятие "Реализация проекта "1000 дворов""</t>
  </si>
  <si>
    <t xml:space="preserve">          Непрограммные расходы</t>
  </si>
  <si>
    <t xml:space="preserve">            Резервный фонд финансирования непредвиденных расходов</t>
  </si>
  <si>
    <t xml:space="preserve">          Федеральный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</si>
  <si>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 xml:space="preserve">            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</si>
  <si>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751P550810</t>
  </si>
  <si>
    <t>751P500000</t>
  </si>
  <si>
    <t>7Э00</t>
  </si>
  <si>
    <t>75102S2160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</si>
  <si>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</si>
  <si>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</si>
  <si>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</si>
  <si>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            Фонд оплаты труда государственных (муниципальных) органов</t>
  </si>
  <si>
    <t xml:space="preserve">            Фонд финансового обеспечения выплат стимулирующего характера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</si>
  <si>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</si>
  <si>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энергетических ресурсов</t>
  </si>
  <si>
    <t xml:space="preserve">              Исполнение судебных актов Российской Федерации и мировых соглашений по возмещению причиненного вреда</t>
  </si>
  <si>
    <t xml:space="preserve">              Уплата иных платежей</t>
  </si>
  <si>
    <t xml:space="preserve">  Национальная экономика</t>
  </si>
  <si>
    <t xml:space="preserve">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</si>
  <si>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Иные межбюджетные трансферты</t>
  </si>
  <si>
    <t xml:space="preserve">          Основное мероприятие "Капитальный ремонт теплотрассы от ТК9 до ТК13 г.Закаменск"</t>
  </si>
  <si>
    <t xml:space="preserve">            Капитальный ремонт объектов коммунальной инфраструктуры</t>
  </si>
  <si>
    <t xml:space="preserve">            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</si>
  <si>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            Иные межбюджетные трансферты муниципальным образованиям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республиканского бюджета</t>
  </si>
  <si>
    <t xml:space="preserve">    Профессиональная подготовка, переподготовка и повышение квалификации</t>
  </si>
  <si>
    <t xml:space="preserve">            Прочие мероприятия, связанные с выполнением обязательств органов местного самоуправления</t>
  </si>
  <si>
    <t xml:space="preserve">            Единовременные выплаты медицинским работникам (врачам, среднему медицинскому персоналу), прибывшим (переехавшим) на работу в Закаменский район</t>
  </si>
  <si>
    <t xml:space="preserve">              Иные выплаты населению</t>
  </si>
  <si>
    <t xml:space="preserve">  Социальная политика</t>
  </si>
  <si>
    <t xml:space="preserve">    Социальное обеспечение населения</t>
  </si>
  <si>
    <t xml:space="preserve">    Другие вопросы в области социальной политики</t>
  </si>
  <si>
    <t xml:space="preserve">  Физическая культура и спорт</t>
  </si>
  <si>
    <t xml:space="preserve">            Софинансирование расходных обязательств муниципальных районов (городских округов)</t>
  </si>
  <si>
    <t xml:space="preserve">  Средства массовой информации</t>
  </si>
  <si>
    <t xml:space="preserve">  Межбюджетные трансферты общего характера бюджетам бюджетной системы Российской Федерации</t>
  </si>
  <si>
    <t xml:space="preserve">    Прочие межбюджетные трансферты общего характера</t>
  </si>
  <si>
    <t xml:space="preserve">            Резервный фонд администрации МО "Закаменский район" по ликвидации чрезвычайных ситуаций и последствий стихийных бедствий</t>
  </si>
  <si>
    <t xml:space="preserve">  Общегосударственные вопросы</t>
  </si>
  <si>
    <t xml:space="preserve">            Осуществление полномочий по формированию и исполнению бюджетов поселений</t>
  </si>
  <si>
    <t xml:space="preserve">            Осуществление полномочий в области теплоснабжения</t>
  </si>
  <si>
    <t xml:space="preserve">      Муниципальная программа "Обеспечение безопасности жизнедеятельности населения на территории Закаменского района на 2021-2023 годы и на период до 2026 года"</t>
  </si>
  <si>
    <t xml:space="preserve">          Основное мероприятие "Предоставление помещения для работы на обслуживаемом административном участке сотруднику, замещающему должность участкового уполномоченного полиции"</t>
  </si>
  <si>
    <t xml:space="preserve">            Мероприятия по обеспечению безопасности жизнедеятельности населения</t>
  </si>
  <si>
    <t xml:space="preserve">        Муниципальная программа "Обеспечение безопасности жизнедеятельности населения на территории Закаменского района на 2021-2023 годы и на период до 2026 года"</t>
  </si>
  <si>
    <t xml:space="preserve">            Развитие транспортной инфраструктуры на сельских территориях</t>
  </si>
  <si>
    <t xml:space="preserve">            Иные межбюджетные трансферты, на содержание автомобильных дорог общего пользования местного значения. и в т.ч. Обеспечение безопасности дорожного движения и аварийно-восстановительные работы</t>
  </si>
  <si>
    <t xml:space="preserve">            На дорожную деятельность в отношении автомобильных дорог общего пользования местного значения</t>
  </si>
  <si>
    <t xml:space="preserve">        Непрограммные расходы</t>
  </si>
  <si>
    <t xml:space="preserve">      Муниципальная адресная программа по переселению граждан из аварийного жилищного фонда на территории Закаменского района, признанного до 1 января 2017 года, на период 2019-2024 годов</t>
  </si>
  <si>
    <t xml:space="preserve">          Федеральный проект "Обеспечение устойчивого сокращения непригодного для проживания жилищного фонда"</t>
  </si>
  <si>
    <t xml:space="preserve">          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Фонда содействия реформированию жилищно-коммунального хозяйства</t>
  </si>
  <si>
    <t xml:space="preserve">              Бюджетные инвестиции в объекты капитального строительства государственной (муниципальной) собственности</t>
  </si>
  <si>
    <t xml:space="preserve">          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</si>
  <si>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 xml:space="preserve">          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</si>
  <si>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 xml:space="preserve">          Основное мероприятие "Строительство водозаборных сооружений и сетей холодного водоснабжения в г. Закаменск Закаменского района"</t>
  </si>
  <si>
    <t xml:space="preserve">            Субсидии бюджетам муниципальных образований на модернизацию объектов водоснабжения</t>
  </si>
  <si>
    <t xml:space="preserve">          Основное мероприятие "Реконструкция сетей холодного водоснабжения в с. Холтосон Закаменского района"</t>
  </si>
  <si>
    <t xml:space="preserve">          Основное мероприятие "Строительство водозаборных сооружений и сетей холодного водоснабжения в с. Баянгол Закаменского района"</t>
  </si>
  <si>
    <t xml:space="preserve">            Развитие общественной инфраструктуры муниципальных образований</t>
  </si>
  <si>
    <t xml:space="preserve">Код дохода </t>
  </si>
  <si>
    <t>101 02080 01 0000 110</t>
  </si>
  <si>
    <t>103 02000 01 0000 110</t>
  </si>
  <si>
    <t>111 05013 05 0000 120</t>
  </si>
  <si>
    <t>111 05013 13 0000 120</t>
  </si>
  <si>
    <t>111 05025 05 0000 120</t>
  </si>
  <si>
    <t>114 02053 05 0000 410</t>
  </si>
  <si>
    <t>114 06013 13 0000 430</t>
  </si>
  <si>
    <t>117 00000 00 0000 000</t>
  </si>
  <si>
    <t>117 05000 00 0000 180</t>
  </si>
  <si>
    <t>117 05050 05 0000 180</t>
  </si>
  <si>
    <t>ннд</t>
  </si>
  <si>
    <t>фп</t>
  </si>
  <si>
    <t>итого дох</t>
  </si>
  <si>
    <t>расх</t>
  </si>
  <si>
    <t>деф</t>
  </si>
  <si>
    <t>получ кр</t>
  </si>
  <si>
    <t>погаш кр</t>
  </si>
  <si>
    <t>остатки</t>
  </si>
  <si>
    <t>текущее</t>
  </si>
  <si>
    <t>предыдущее</t>
  </si>
  <si>
    <t>на капитальный ремонт муниципальных общеобразовательных организаций и (или) муниципальных образовательных организаций дополнительного образования</t>
  </si>
  <si>
    <t>2 19 45303 05 0000 150</t>
  </si>
  <si>
    <t>Возврат остатков иных межбюджетных трансфертов на ежемесячное денежное вознаграждение за классное руководство педагогическим работникам государственных и муниципальных общеобразовательных организаций из бюджетов муниципальных районов</t>
  </si>
  <si>
    <t xml:space="preserve"> 2 18 05010 05 0000 150</t>
  </si>
  <si>
    <t xml:space="preserve">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</si>
  <si>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</si>
  <si>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приобретение автобусов</t>
  </si>
  <si>
    <t>оказание помощи в натуральной форме 2418 гражданам, утратившим урожай овощей вследствие гибели от выпадения обильных осадков в виде дождя и крупного града на территории городского поселения муниципального образования "город Закаменск" Закаменского района</t>
  </si>
  <si>
    <t>113 00000 00 0000 000</t>
  </si>
  <si>
    <t xml:space="preserve">            Разработка, принятие и софинансирование муниципальных программ по сохранению и развитию бурятского языка</t>
  </si>
  <si>
    <t>Разработка, принятие и софинансирование муниципальных программ по сохранению и развитию бурятского языка</t>
  </si>
  <si>
    <t>7Б00285060</t>
  </si>
  <si>
    <t>7Б00485060</t>
  </si>
  <si>
    <t>78501S2И50</t>
  </si>
  <si>
    <t>Субсидии бюджетам муниципальных образований на капитальный ремонт муниципальных общеобразовательных организаций и (или) муниципальных образовательных организаций дополнительного образования</t>
  </si>
  <si>
    <t>7Б00385060</t>
  </si>
  <si>
    <t xml:space="preserve">            Расходы по мобилизационной работе</t>
  </si>
  <si>
    <t>99900Р0200</t>
  </si>
  <si>
    <t xml:space="preserve">            Резервный фонд Правительства Республики Бурятия по ликвидации чрезвычайных ситуаций и последствий стихийных бедствий</t>
  </si>
  <si>
    <t>80011S2М80</t>
  </si>
  <si>
    <t xml:space="preserve">      Муниципальная программа "Экономическое развитие муниципального образования "Закаменский район""</t>
  </si>
  <si>
    <t xml:space="preserve">        Подпрограмма "Создание благоприятных условий для привлечения инвестиций и развития инноваций в Закаменском районе"</t>
  </si>
  <si>
    <t xml:space="preserve">          Основное мероприятие "Формирование благоприятной инвестиционной среды"</t>
  </si>
  <si>
    <t xml:space="preserve">          Основное мероприятие "Капитальный ремонт моста через р.Джида в с.Михайловка (в том числе разработка проектной и рабочей документации)"</t>
  </si>
  <si>
    <t>85301S21Д0</t>
  </si>
  <si>
    <t>85302743Д0</t>
  </si>
  <si>
    <t>85302Д2020</t>
  </si>
  <si>
    <t>85307S21Д0</t>
  </si>
  <si>
    <t xml:space="preserve">          Основное мероприятие "Буртовка твердых бытовых отходов"</t>
  </si>
  <si>
    <t xml:space="preserve">            Мероприятия в области охраны окружающей среды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</si>
  <si>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</si>
  <si>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Уточненный бюджет от  00.11.2022</t>
  </si>
  <si>
    <t>выполнение расходных обязательств по предупреждению чрезвычайных ситуаций в целях защиты населения от негативного воздействия поверхностных водных объектов</t>
  </si>
  <si>
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</si>
  <si>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 xml:space="preserve"> 2 02 25394 00 0000 150</t>
  </si>
  <si>
    <t xml:space="preserve"> 2 02 25394 05 0000 150</t>
  </si>
  <si>
    <t>2 02 25394 05 0000 150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</si>
  <si>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</si>
  <si>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муниципальных районов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</si>
  <si>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853R000000</t>
  </si>
  <si>
    <t>853R100000</t>
  </si>
  <si>
    <t>853R153940</t>
  </si>
  <si>
    <t>Федеральный проект «Региональная и местная дорожная сеть»</t>
  </si>
  <si>
    <t>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</si>
  <si>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Национальный проект «Безопасные качественные дороги»</t>
  </si>
  <si>
    <t>Федеральный проект «Чистая вода»</t>
  </si>
  <si>
    <t>Строительство и реконструкция (модернизация) объектов питьевого водоснабжения</t>
  </si>
  <si>
    <t>81301S2П90</t>
  </si>
  <si>
    <t>Субсидия на комплексные кадастровые работы, финансируемые из средств республиканского бюджета</t>
  </si>
  <si>
    <t>Субвенция на осуществление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</si>
  <si>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</si>
  <si>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дот</t>
  </si>
  <si>
    <t>Закупка товаров, работ, услуг в целях капитального ремонта государственного (муниципального) имущества</t>
  </si>
  <si>
    <t>7Э015S2В90</t>
  </si>
  <si>
    <t>7Э01500000</t>
  </si>
  <si>
    <t>85303Д2020</t>
  </si>
  <si>
    <t>85306Д2020</t>
  </si>
  <si>
    <t>85308Д2020</t>
  </si>
  <si>
    <t>Основное мероприятие "Разработка проектной документации и строительство полигона твердых бытовых отходов в г.Закаменск Закаменского района"</t>
  </si>
  <si>
    <t>Основное мероприятие "Разработка и изготовление знаков туристской навигации"</t>
  </si>
  <si>
    <t>Основное мероприятие "Работы в области признания лечебно-оздоровительной местностью Енгорбойских минеральных источников (аршанов)"</t>
  </si>
  <si>
    <t>Основное мероприятие "Разработка и презентация туристского потенциала муниципального образования "Закаменский район"</t>
  </si>
  <si>
    <t>Муниципальная программа "Развитие и поддержка территориальных общественных самоуправлений на территории МО "Закаменский район"</t>
  </si>
  <si>
    <t>Основное мероприятие "Изготовление полиграфической и рекламной продукции, производство видеороликов""</t>
  </si>
  <si>
    <t>Мероприятия, направленные на благоустройство территорий</t>
  </si>
  <si>
    <t>Муниципальная программа "Развитие инфраструктуры в Закаменском районе"</t>
  </si>
  <si>
    <t>Подпрограмма "Развитие благоустройства в Закаменском районе"</t>
  </si>
  <si>
    <t>Основное мероприятие "Оборудование и ремонт детских, спортивных площадок, мест отдыха</t>
  </si>
  <si>
    <t>Основное мероприятие "Устройство ограждений, ремонт ограждений, устройство видеонаблюдения"</t>
  </si>
  <si>
    <t>Основное мероприятие "Деятельность в области спорта высших достижений МБУ Спортивная школа "Закамна""</t>
  </si>
  <si>
    <t>Муниципальная программа "Чистая вода на 2020-2025 гг."</t>
  </si>
  <si>
    <t>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</si>
  <si>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 xml:space="preserve"> Другие вопросы в области национальной экономики</t>
  </si>
  <si>
    <t>Развитие транспортной инфраструктуры на сельских территориях</t>
  </si>
  <si>
    <t>Основное мероприятие "Развитие транспортной инфраструктуры на сельских территориях"</t>
  </si>
  <si>
    <t>На дорожную деятельность в отношении автомобильных дорог общего пользования местного значения</t>
  </si>
  <si>
    <t>Основное мероприятие "Обустройство пешеходных переходов вблизи общеобразовательных учреждений МАОУ "Михайловская СОШ", МАОУ "Санагинская СОШ"</t>
  </si>
  <si>
    <t>Основное мероприятие "Разработка ПСД на ремонт автодороги Дутулур-Утата-Далахай, на участке км 2+300 - км 8+360"</t>
  </si>
  <si>
    <t>Основное мероприятие "Ремонт подъезда к зданию Центра дополнительного образования от автомобильной дороги по ул.Крупской г.Закаменск (в том числе разработка ПСД)"</t>
  </si>
  <si>
    <t>Основное мероприятие "Ремонт дороги по ул.Центральная с устройством подъезда к зданию школы и детскому саду в у.Дутулур (в том числе разработка ПСД)"</t>
  </si>
  <si>
    <t>Основное мероприятие "Ремонт автодороги по ул.Центральная у.Далахай (в том числе разработка ПСД)"</t>
  </si>
  <si>
    <t>Основное мероприятие "Содержание автомобильных дорог общего пользования местного значения, в том числе обеспечение безопасности дорожного движения, аварийно-восстановительные работы и ремонтно-восстановительные работы"</t>
  </si>
  <si>
    <t>Подпрограмма "Дороги общего пользования местного значения"</t>
  </si>
  <si>
    <t>Муниципальная программа "Повышение безопасности дорожного движения в муниципальном образовании "Закаменский район""</t>
  </si>
  <si>
    <t xml:space="preserve"> Дорожное хозяйство (дорожные фонды)</t>
  </si>
  <si>
    <t>Основное мероприятие "Частичное восстановление защитных сооружений на р.Улекчинка с.Улекчин Закаменского района"</t>
  </si>
  <si>
    <t>Основное мероприятие "Устройство временных дамб обвалования на р.Модонкуль с.Холтосон Закаменского района"</t>
  </si>
  <si>
    <t>Основное мероприятие "Устройство временных дамб обвалования руч.Инкур г.Закаменск Закаменского района"</t>
  </si>
  <si>
    <t>Основное мероприятие "Частичное восстановление береговой полосы на р.Джида г.Закаменск Закаменского района"</t>
  </si>
  <si>
    <t>Основное мероприятие "Устройство временных дамб обвалования на р.Хуртагинка с.Хуртага Закаменского района"</t>
  </si>
  <si>
    <t>Основное мероприятие "Частичное восстановление защитных сооружений на р.Оронгодой с.Утата Закаменского района"</t>
  </si>
  <si>
    <t>Основное мероприятие "Капитальный ремонт защитной дамбы обвалования на р.Цакирка у.Санага Закаменского района"</t>
  </si>
  <si>
    <t>Основное мероприятие "Капитальный ремонт защитной дамбы обвалования на р.Модонкуль Закаменского района"</t>
  </si>
  <si>
    <t xml:space="preserve"> Другие общегосударственные вопросы</t>
  </si>
  <si>
    <t>Исполнение функций административного центра</t>
  </si>
  <si>
    <t>Исполнение местных полномочий поселений</t>
  </si>
  <si>
    <t>Основное мероприятие "Распределение и предоставление межбюджетных трансфертов поселениям"</t>
  </si>
  <si>
    <t>Подпрограмма "Совершенствование межбюджетных отношений"</t>
  </si>
  <si>
    <t>Осуществление государственных полномочий по расчету и предоставлению дотаций поселениям</t>
  </si>
  <si>
    <t>Дотации на выравнивание бюджетной обеспеченности</t>
  </si>
  <si>
    <t>Обслуживание государственного внутреннего и муниципального долга</t>
  </si>
  <si>
    <t>Подпрограмма "Управление муниципальным долгом"</t>
  </si>
  <si>
    <t>Основное мероприятие  "Обслуживание муниципального долга МО «Закаменский район»"</t>
  </si>
  <si>
    <t>Процентные платежи по муниципальному долгу</t>
  </si>
  <si>
    <t>Обслуживание муниципального долга</t>
  </si>
  <si>
    <t>Резервные средства</t>
  </si>
  <si>
    <t>Резервный фонд администрации МО "Закаменский район" по предупреждению чрезвычайных ситуаций</t>
  </si>
  <si>
    <t>Резервный фонд администрации МО "Закаменский район" по ликвидации чрезвычайных ситуаций и последствий стихийных бедствий</t>
  </si>
  <si>
    <t xml:space="preserve">  Резервные фонды</t>
  </si>
  <si>
    <t>Осуществление полномочий по формированию и исполнению бюджетов поселений</t>
  </si>
  <si>
    <t>Основное мероприятие "Повышение качества управления муниципальными финансами"</t>
  </si>
  <si>
    <t>Подпрограмма "Повышение эффективности управления муниципальными финансами"</t>
  </si>
  <si>
    <t>Расходы на периодические издания, учрежденные органами законодательной и исполнительной власти</t>
  </si>
  <si>
    <t>Основное мероприятие "Содержание и обеспечение деятельности МАУ ФСК "Тамир""</t>
  </si>
  <si>
    <t xml:space="preserve"> Прочая закупка товаров, работ и услуг</t>
  </si>
  <si>
    <t xml:space="preserve"> Осуществление государственных полномочий по образованию и организации деятельности по опеке и попечительству в Республике Бурятия</t>
  </si>
  <si>
    <t>Осуществление государственных полномочий по организации деятельности комиссий по делам несовершеннолетних и защите их прав в Республике Бурятия</t>
  </si>
  <si>
    <t xml:space="preserve"> Непрограммные расходы</t>
  </si>
  <si>
    <t>Доплаты к пенсиям муниципальных служащих</t>
  </si>
  <si>
    <t>Основное мероприятие "Вакцинация детей от 4 - до 17 лет"</t>
  </si>
  <si>
    <t>Расходы на обеспечение деятельности (оказания услуг) учреждений в области разработки строительных объектов</t>
  </si>
  <si>
    <t>Муниципальная программа "Энергосбережение и повышение энергетической эффективности на территории муниципального образования "Закаменский район" на 2022-2025 гг."</t>
  </si>
  <si>
    <t>Основное мероприятие "Капитальный ремонт теплотрассы от ТК6 до ТК9 ул.Гагарина, 21 - Гагарина, 1 г.Закаменск"</t>
  </si>
  <si>
    <t>Капитальный ремонт объектов коммунальной инфраструктуры</t>
  </si>
  <si>
    <t>Муниципальная программа "Формирование комфортной городской среды на 2018-2024 годы"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</si>
  <si>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</si>
  <si>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</si>
  <si>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Субсидии бюджетам муниципальных образований на обеспечение профессиональной переподготовки, повышения квалификации лиц, замещающих выборные муниципальные должности и муниципальных служащих</t>
  </si>
  <si>
    <t>Основное мероприятие "Первоочередные мероприятия по модернизации, капитальному ремонту и подготовке к отопительному сезону"</t>
  </si>
  <si>
    <t>Основное мероприятие "Традиционные мероприятия, направленные на сохранение и развитие бурятского языка"</t>
  </si>
  <si>
    <t>Основное мероприятие "Изучение и сохранение родного языка"</t>
  </si>
  <si>
    <t xml:space="preserve"> Мероприятия, направленные на развитие и сохранение бурятского языка</t>
  </si>
  <si>
    <t xml:space="preserve"> Обеспечение комплексного развития сельских территорий</t>
  </si>
  <si>
    <t>инф</t>
  </si>
  <si>
    <t>экон</t>
  </si>
  <si>
    <t>общ</t>
  </si>
  <si>
    <t xml:space="preserve">Проведение общественно-значимых мероприятий </t>
  </si>
  <si>
    <t>Оплата членских и иных взносов</t>
  </si>
  <si>
    <t xml:space="preserve"> 2 02 45179 00 0000 150</t>
  </si>
  <si>
    <t xml:space="preserve"> 2 02 45179 05 0000 150</t>
  </si>
  <si>
    <t>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</si>
  <si>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</si>
  <si>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782EВ00000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</si>
  <si>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</si>
  <si>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Федеральный проект "Патриотическое воспитание граждан Российской Федерации"</t>
  </si>
  <si>
    <t>капитальный ремонт объектов коммунальной инфраструктуры на сельских территориях</t>
  </si>
  <si>
    <t>капитальный ремонт учреждений культуры</t>
  </si>
  <si>
    <t>в части объектов образования</t>
  </si>
  <si>
    <t>капитальные вложения в объекты муниципальной собственности</t>
  </si>
  <si>
    <t>Субсидии бюджетам муниципальных образований на выполнение расходных обязательств по предупреждению чрезвычайных ситуаций в целях защиты населения от негативного воздействия поверхностных водных объектов</t>
  </si>
  <si>
    <t>Основное мероприятие "Аварийно-восстановительные работы русла р.Хуртагинка"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</si>
  <si>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</si>
  <si>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шк 4 и шк 5</t>
  </si>
  <si>
    <t>74001L5183</t>
  </si>
  <si>
    <t>Единая субсидия на достижение показателей государственной программы Российской Федерации «Реализация государственной национальной политики» (Создание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деятельности; развитие сферы образования, культуры, в том числе проведение этнокультурных мероприятий, и медицинского обслуживания коренных малочисленных народов; развитие и модернизацию инфраструктуры и информативно-коммуникационных ресурсов в местах традиционного проживания и традиционной хозяйственной деятельности коренных малочисленных народов)</t>
  </si>
  <si>
    <t>Развитие и поддержка территориальных общественных самоуправлений</t>
  </si>
  <si>
    <t>80018S2М80</t>
  </si>
  <si>
    <t xml:space="preserve">  Субсидии бюджетам муниципальных образований на выполнение расходных обязательств по предупреждению чрезвычайных ситуаций в целях защиты населения от негативного воздействия поверхностных водных объектов</t>
  </si>
  <si>
    <t>80019S2М80</t>
  </si>
  <si>
    <t>85304L3720</t>
  </si>
  <si>
    <t>85305L3720</t>
  </si>
  <si>
    <t>усл д.б</t>
  </si>
  <si>
    <t>Основное мероприятие "Ремонт участка автомобильной дороги Дутулур-Утата-Далахай от у.Хужир - у.Енгорбой"</t>
  </si>
  <si>
    <t xml:space="preserve">Охрана семьи и детства </t>
  </si>
  <si>
    <t>Премирование специалистов администраций сельских поселений</t>
  </si>
  <si>
    <t>Фонд финансового обеспечения выплат стимулирующего характера</t>
  </si>
  <si>
    <t xml:space="preserve"> 2 02 25098 00 0000 150</t>
  </si>
  <si>
    <t xml:space="preserve"> 2 02 25098 05 0000 150</t>
  </si>
  <si>
    <t>2 02 25098 05 0000 150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</si>
  <si>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</si>
  <si>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</si>
  <si>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Основное мероприятие "Организация и проведение событийных тематических мероприятий на территории района"</t>
  </si>
  <si>
    <t>73301S2160</t>
  </si>
  <si>
    <t>782Е000000</t>
  </si>
  <si>
    <t>782Е200000</t>
  </si>
  <si>
    <t>782Е250980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</si>
  <si>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</si>
  <si>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Расходы по исполнительным документам судебных органов</t>
  </si>
  <si>
    <t>Основное мероприятие "Благоустройство территорий, прилегающих к местам туристского показа"</t>
  </si>
  <si>
    <t>81202S2610</t>
  </si>
  <si>
    <t>Основное мероприятие "Реализация проекта "1000 дворов""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</si>
  <si>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</si>
  <si>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Иные межбюджетные трансферты муниципальным образованиям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республиканского бюджета</t>
  </si>
  <si>
    <t>71101S2160</t>
  </si>
  <si>
    <t>Основное мероприятие "Компенсация разницы между фактическим удельным расходом топлива и нормативным, учтенным в тарифе на тепловую энергию"</t>
  </si>
  <si>
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</si>
  <si>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78201S2Р40</t>
  </si>
  <si>
    <t>782EВ51790</t>
  </si>
  <si>
    <t xml:space="preserve">          Основное мероприятие "Оказание поддержки гражданам и их объединениям, участвующим в охране общественного порядка, создание условий для деятельности народных дружин"</t>
  </si>
  <si>
    <t>85308S2140</t>
  </si>
  <si>
    <t xml:space="preserve">          Основное мероприятие "Профилактика терроризма и экстремизма "</t>
  </si>
  <si>
    <t xml:space="preserve">          Основное мероприятие "Пропаганда здорового образа жизни, правовое, культурное, спортивное, нравственное и военно-патриотическое воспитание граждан"</t>
  </si>
  <si>
    <t>на финансовое обеспечение социально значимых и первоочередных расходов местных бюджетов</t>
  </si>
  <si>
    <t>на укрепление материально-технической базы в отрасли "Культура"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</si>
  <si>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</si>
  <si>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Осуществление мероприятий, направленных на обеспечение условий для полноценного функционирования некапитальных объектов (быстровозводимых конструкций) отдыха детей и их оздоровления на территории Республики Бурятия</t>
  </si>
  <si>
    <t>на приобретение подвижного состава пассажирского транспорта общего пользования (за счет специального казначейского кредита)</t>
  </si>
  <si>
    <t>Объем налоговых и неналоговых доходов районного бюджета  на 2024 год</t>
  </si>
  <si>
    <t>Объем безвозмездных поступлений на 2024 год</t>
  </si>
  <si>
    <t xml:space="preserve">"О бюджете муниципального образования "Закаменский район" на 2024 год </t>
  </si>
  <si>
    <t>и на плановый период 2025 и 2026 годов"</t>
  </si>
  <si>
    <t>Ведомственная структура расходов  бюджета на 2024 год</t>
  </si>
  <si>
    <t>Распределение бюджетных ассигнований по разделам и подразделам классификации расходов бюджетов на 2024 год</t>
  </si>
  <si>
    <t>Распределение бюджетных ассигнований на реализацию муниципальных программ на 2024 год</t>
  </si>
  <si>
    <t>Источники  внутреннего финансирования  дефицита  бюджета  на 2024 год</t>
  </si>
  <si>
    <t>капитальные вложения</t>
  </si>
  <si>
    <t>мб 258,947</t>
  </si>
  <si>
    <t>Региональный проект «Региональная и местная дорожная сеть»</t>
  </si>
  <si>
    <t>Приведение в нормативное состояние автомобильных дорог и искусственных дорожных сооружений</t>
  </si>
  <si>
    <t>Региональный проект «Социальная активность»</t>
  </si>
  <si>
    <t>754E800000</t>
  </si>
  <si>
    <t>754E872Р50</t>
  </si>
  <si>
    <t>101 02013 01 0000 110</t>
  </si>
  <si>
    <t>Налог на доходы физических лиц в отношении доходов от долевого участия в организации, полученных в виде дивидендов (в части суммы еалога, не превышающей 650 000 рублей)</t>
  </si>
  <si>
    <t>Основное мероприятие "Мероприятия по декларированию гидротехнических сооружений в у.Далахай""</t>
  </si>
  <si>
    <t>Муниципальная программа "Развитие агропромышленного комплекса и сельских территорий Закаменского района на 2024-2028 годы"</t>
  </si>
  <si>
    <t>Основное мероприятие "Вовлечение в оборот неиспользуемых сельскохозяйственных угодий"</t>
  </si>
  <si>
    <t>Основное мероприятие "Внедрение современных технологий в заготовку и приготовление кормов, обновление кормозаготовительной техники (закуп комбайнов, посевного комплекса, энергонасыщенных тракторов"</t>
  </si>
  <si>
    <t>Основное мероприятие "Организация своевременной обработки парового поля"</t>
  </si>
  <si>
    <t>Основное мероприятие "Обновление семенного материала (закуп сортовых семян сельскохозяйственных культур), содействие хозяйствам различных форм хозяйствования в повышении урожайности, внедрении новых культур в севооборот"</t>
  </si>
  <si>
    <t>Основное мероприятие "Содействие хозяйствам всех форм собственности в приобретении племенных животных"</t>
  </si>
  <si>
    <t>Основное мероприятие "Проведение мероприятий в рамках Дня работников сельского хозяйства и перерабатывающей промышленности"</t>
  </si>
  <si>
    <t>76012Д2020</t>
  </si>
  <si>
    <t>Основное мероприятие "Установка дорожных знаков в соответствии ПОДД"</t>
  </si>
  <si>
    <t>Основное мероприятие "Капитальный ремонт, ремонт дворовых территорий многоквартирных жилых домов, проездов к дворовым территориям МКД"</t>
  </si>
  <si>
    <t>Основное мероприятие "Строительство сетей наружного освещения улиц"</t>
  </si>
  <si>
    <t>Основное мероприятие "Очистка берегов рек от бытового мусора"</t>
  </si>
  <si>
    <t>Основное мероприятие "Озеленение (посадка и ремонт зеленых насаждений, удаление сухих деревьев, цветочное оформление)"</t>
  </si>
  <si>
    <t>9 629,7</t>
  </si>
  <si>
    <t>на 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</si>
  <si>
    <t xml:space="preserve">на содержание объектов размещения твердых коммунальных отходов </t>
  </si>
  <si>
    <t xml:space="preserve">на компенсацию разницы между фактическим удельным расходом топлива и нормативным, учтенным в тарифе на тепловую энергию </t>
  </si>
  <si>
    <t xml:space="preserve">на проведение комплексных кадастровых работ за счет республиканского бюджета </t>
  </si>
  <si>
    <t>на достижение показателей государственной программы Российской Федерации «Реализация государственной национальной политики» (Создание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деятельности; развитие сферы образования, культуры, в том числе проведение этнокультурных мероприятий, и медицинского обслуживания коренных малочисленных народов; развитие и модернизацию инфраструктуры и информативно-коммуникационных ресурсов в местах традиционного проживания и традиционной хозяйственной деятельности коренных малочисленных народов)</t>
  </si>
  <si>
    <t>лизинг</t>
  </si>
  <si>
    <t>Основное мероприятие "Приобретение специализированных транспортных средств для содержания автомобильных дорог общего пользования"</t>
  </si>
  <si>
    <t xml:space="preserve">   Жилищное хозяйство</t>
  </si>
  <si>
    <t>Бюджетные инвестиции в объекты капитального строительства государственной (муниципальной) собственности</t>
  </si>
  <si>
    <t>Организация транспортного обслуживания населения автомобильным транспортом по муниципальным маршрутам</t>
  </si>
  <si>
    <t>Оценка технического состояния и паспортизация автомобильных дорог</t>
  </si>
  <si>
    <t>изготовление межевых планов на земельные участки</t>
  </si>
  <si>
    <t>85313Д2020</t>
  </si>
  <si>
    <t>Основное мероприятие "Разработка ПСД на ремонт участка автомобильной дороги Дутулур-Утата-Далахай от у.Енгорбой - у.Санага"</t>
  </si>
  <si>
    <t>на осуществление отдельного государственного полномочия в сфере организации проведения мероприятий по предупреждению и ликвидации болезней животных, защите населения от болезней, общих для человека и животных</t>
  </si>
  <si>
    <t>на администрирование отдельного государственного полномочия в сфере организации проведения мероприятий по предупреждению и ликвидации болезней животных, защите населения от болезней, общих для человека и животных</t>
  </si>
  <si>
    <t>85312S23Д0</t>
  </si>
  <si>
    <t>Субсидии муниципальным образованиям на 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</si>
  <si>
    <t>754E8S2Р50</t>
  </si>
  <si>
    <t>Осуществление отдельного государственного полномочия по поддержке сельского хозяйства</t>
  </si>
  <si>
    <t>Администрирование передаваемого отдельного государственного полномочия по поддержке сельского хозяйства</t>
  </si>
  <si>
    <t>Субвенция на осуществление отдельных государственных полномочий в сфере организации проведения мероприятий по предупреждению и ликвидации болезней животных, защите населения от болезней, общих для человека и животных</t>
  </si>
  <si>
    <t>Администрирование отдельных государственных полномочий в сфере организации проведения мероприятий по предупреждению и ликвидации болезней животных, защите населения от болезней, общих для человека и животных</t>
  </si>
  <si>
    <t>81301Д5110</t>
  </si>
  <si>
    <t>Проведение комплексных кадастровых работ за счет республиканского бюджета</t>
  </si>
  <si>
    <t>Внесение изменений в схему территориального планирования муниципального образования</t>
  </si>
  <si>
    <t>7Б00482060</t>
  </si>
  <si>
    <t>Основное мероприятие "Замена и ремонт дорожных знаков"</t>
  </si>
  <si>
    <t>Основное мероприятие "Обустройство пешеходных переходов в соответствии с национальными стандартами, в том числе вблизи общеобразовательных учреждений"</t>
  </si>
  <si>
    <t xml:space="preserve">сп гп </t>
  </si>
  <si>
    <t>вус</t>
  </si>
  <si>
    <t>итого доходы</t>
  </si>
  <si>
    <t>расходы</t>
  </si>
  <si>
    <t>Иные межбюджетные трансферты бюджетам муниципальных образований на оснащение муниципальных дошкольных организаций материалами, оборудованием и инвентарем для развития детей дошкольного возраста</t>
  </si>
  <si>
    <t>Иные межбюджетные трансферты на финансовое обеспечение расходных обязательств, возникающих при выполнении полномочий по решению вопросов местного значения</t>
  </si>
  <si>
    <t>Мероприятия в области жилищно-коммунального хозяйства</t>
  </si>
  <si>
    <t>Обеспечение транспортной безопасности обьектов транспортной инфраструктуры</t>
  </si>
  <si>
    <t>85314Д2020</t>
  </si>
  <si>
    <t>Основное мероприятие "Разработка ПСД на ремонт подъезда к у.Мыла от автомобильной дороги Ехэ-Цакир-Бортой-Цаган-Морин с устройством подъездов к зданию врачебной амбулатории в с.Баянгол, к зданиям детского сада и школы в у.Мыла"</t>
  </si>
  <si>
    <t>Основное мероприятие "Ликвидация несанкционированных свалок"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</si>
  <si>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</si>
  <si>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Исполнение судебных актов Российской Федерации и мировых соглашений по возмещению причиненного вреда</t>
  </si>
  <si>
    <t xml:space="preserve"> 2 02 25424 00 0000 150</t>
  </si>
  <si>
    <t xml:space="preserve"> 2 02 25424 05 0000 150</t>
  </si>
  <si>
    <t>2 02 25424 05 0000 150</t>
  </si>
  <si>
    <t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</si>
  <si>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бюджетам муниципальных районов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</si>
  <si>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2 02 25599 00 0000 150</t>
  </si>
  <si>
    <t>2 02 25599 05 0000 150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</si>
  <si>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</si>
  <si>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</si>
  <si>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</si>
  <si>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</si>
  <si>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2 02 27576 00 0000 150</t>
  </si>
  <si>
    <t xml:space="preserve"> 2 02 27576 05 0000 150</t>
  </si>
  <si>
    <t>2 02 27576 05 0000 150</t>
  </si>
  <si>
    <t>лучшее событийное мероприятие в сельской местности</t>
  </si>
  <si>
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</si>
  <si>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</si>
  <si>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81302L5990</t>
  </si>
  <si>
    <t>Подпрограмма "Развитие имущественных и земельных отношений в Закаменском районе"</t>
  </si>
  <si>
    <t>Субсидии бюджетам муниципальных образований на лучшее событийное тематическое мероприятие в сельской местности</t>
  </si>
  <si>
    <t>81208S2Е80</t>
  </si>
  <si>
    <t xml:space="preserve"> Иные межбюджетные трансферты</t>
  </si>
  <si>
    <t>Основное мероприятие "Мероприятия по содержанию муниципального имущества"</t>
  </si>
  <si>
    <t>89005А5760</t>
  </si>
  <si>
    <t>Мероприятия по обеспечению комплексного развития сельских территорий</t>
  </si>
  <si>
    <t>Проведение общественно-значимых мероприятий</t>
  </si>
  <si>
    <t xml:space="preserve">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</si>
  <si>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78201R3030</t>
  </si>
  <si>
    <t>Подготовка к проведению выборов президента Российской Федерации</t>
  </si>
  <si>
    <t>Основное мероприятие "Организация и проведение событийных тематических мероприятий на территории Закаменского района"</t>
  </si>
  <si>
    <t xml:space="preserve"> Софинансирование расходных обязательств муниципальных районов (городских округов)</t>
  </si>
  <si>
    <t>Муниципальная программа "Развитие муниципальной службы муниципального образования "Закаменский район" на 2024-2028 гг"</t>
  </si>
  <si>
    <t>Основное мероприятие "Внедрение эффективных технологий и современных методов кадровой работы"</t>
  </si>
  <si>
    <t>Субсидии бюджетам муниципальных образований на обеспечение профессиональной переподготовки, повышения квалификации глав муниципальных образований и муниципальных служащих</t>
  </si>
  <si>
    <t>7К00000000</t>
  </si>
  <si>
    <t>7К00100000</t>
  </si>
  <si>
    <t>7К001S2870</t>
  </si>
  <si>
    <t>Финансовое обеспечение расходных обязательств, возникающих при выполнении полномочий по решению вопросов местного значения поселения</t>
  </si>
  <si>
    <t>85313S2140</t>
  </si>
  <si>
    <t>85314S2140</t>
  </si>
  <si>
    <t>Основное мероприятие "Разработка ПСД на ремонт автодороги ул. Седлецкого, Партизанская, Холтонская, Горького, Спортивная в г. Закаменск"</t>
  </si>
  <si>
    <t>Основное мероприятие "Прохождение государственной экспертизы проектно-сметной документации "Капитальный ремонт автомобильной дороги Закаменск - Холтосон"</t>
  </si>
  <si>
    <t>85315S2140</t>
  </si>
  <si>
    <t>85316S2140</t>
  </si>
  <si>
    <t>Развитие транспортной инфраструктуры на сельских территориях (ремонт автомобильной дороги Дутулур-Утата-Далахай на участке км 2+300- км 8+360, Закаменский район, Республика Бурятия)</t>
  </si>
  <si>
    <t>Развитие транспортной инфраструктуры на сельских территориях (ремонт автомобильной дороги по ул. Седлецкого -ул. Партизанская, ул. Холтонская, ул. Горького, ул. Спортивная в г.Закаменск, Закаменский район, Республика Бурятия)</t>
  </si>
  <si>
    <t>Развитие транспортной инфраструктуры на сельских территориях (ремонт автомобильной дороги по ул. Центральная с устройством подъездов к зданиям школы и детского сада в у. Дутулур, Закаменский район, Республика Бурятия)</t>
  </si>
  <si>
    <t>89006L3722</t>
  </si>
  <si>
    <t>89006L3723</t>
  </si>
  <si>
    <t>85202S2140</t>
  </si>
  <si>
    <t>85206S2140</t>
  </si>
  <si>
    <t>85209S2140</t>
  </si>
  <si>
    <t>Основное мероприятие "Стелы при въезде в населенные пункты (восстановление, ремонт, благоустройство)"</t>
  </si>
  <si>
    <t>Оказание помощи в поддержку земляков-военнослужащих</t>
  </si>
  <si>
    <t>7К</t>
  </si>
  <si>
    <t>113 02995 05 0000 130</t>
  </si>
  <si>
    <t>Прочие доходы от компенсации затрат бюджетов муниципальных районов</t>
  </si>
  <si>
    <t>Муниципальная программа "Укрепление общественного здоровья на 2020-2024гг"</t>
  </si>
  <si>
    <t>Основное мероприятие "Разработка и внедрение программ укрепления здоровья на рабочем месте"</t>
  </si>
  <si>
    <t>Реализация программы укрепления здоровья</t>
  </si>
  <si>
    <t>7У00000000</t>
  </si>
  <si>
    <t>7У00300000</t>
  </si>
  <si>
    <t>7У00323303</t>
  </si>
  <si>
    <t>7У</t>
  </si>
  <si>
    <t>Сумма на год, тыс. рублей</t>
  </si>
  <si>
    <t>Уточненный бюджет от 02.07.2024</t>
  </si>
  <si>
    <t xml:space="preserve"> 2 18 05020 05 0000 150</t>
  </si>
  <si>
    <t>Возврат остатков субсидий на развитие транспортной инфраструктуры на сельских территориях из бюджетов муниципальных районов</t>
  </si>
  <si>
    <t xml:space="preserve"> 2 19 25372 05 0000 150</t>
  </si>
  <si>
    <t>Подпрограмма "Транспортное обслуживание населения на территории муниципального образования "Закаменский район""</t>
  </si>
  <si>
    <t>Основное мероприятие "Возмещение затрат или недополученных доходов от предоставления транспортных услуг населению в границах муниципального образования "Закаменский район"</t>
  </si>
  <si>
    <t>Уточненный бюджет от  02.07.2024</t>
  </si>
  <si>
    <t>73201S2140</t>
  </si>
  <si>
    <t xml:space="preserve"> Развитие общественной инфраструктуры муниципальных образований</t>
  </si>
  <si>
    <t>Дотации бюджетам муниципальных образований по итогам республиканского конкурса «На лучшую организацию работы представительного органа муниципального района и городского округа»</t>
  </si>
  <si>
    <t>Развитие муниципальных программ по сохранению и развитию бурятского языка</t>
  </si>
  <si>
    <t xml:space="preserve"> 2 02 45050 00 0000 150</t>
  </si>
  <si>
    <t xml:space="preserve"> 2 02 45050 05 0000 150</t>
  </si>
  <si>
    <t>За достижение показателей деятельности органов исполнительной власти Республики Бурятия (муниципальные команды)</t>
  </si>
  <si>
    <t>Иные межбюджетные трансферты муниципальным образованиям на выполнение работ по изготовлению и установке бюстов</t>
  </si>
  <si>
    <t>на проведение неотложных аварийно-восстановительных работ на автомобильной дороге Дутулур-Утата-Далахай в связи с чрезвычайной ситуацией, обусловленной выпадением обильных осадков в виде дождя в июле 2024 года (распоряжение ПРБ от 10.09.2024г №790-р "О выделении средств из резервного фонда ПРБ по ликвидации чрезвычайных ситуаций и последствий стихийных бедствий")</t>
  </si>
  <si>
    <t>на проведение неотложных аварийно-восстановительных работ дамбы обваллования в с.Санага в связи с чрезвычайной ситуацией, обусловленной выпадением обильных осадков в виде дождя в июле 2024 года (распоряжение ПРБ от 10.09.2024г №790-р "О выделении средств из резервного фонда ПРБ по ликвидации чрезвычайных ситуаций и последствий стихийных бедствий")</t>
  </si>
  <si>
    <t>Создание, реконструкция и модернизация объектов коммунальной инфраструктуры с участием средств публично-правовой компании "Фонд развития территорий"</t>
  </si>
  <si>
    <t>Дотации бюджетам муниципальных образований по итогам конкурса на соискание премии Главы Республики Бурятия в области развития бурятского языка «Yндэhэй хэлэнэй yлзы хэшэг» - «Священный дар родного языка»</t>
  </si>
  <si>
    <t>111 09080 00 0000 120</t>
  </si>
  <si>
    <t>Поощрение победителей республиканских конкурсов, соревнований</t>
  </si>
  <si>
    <t xml:space="preserve">            За достижение показателей деятельности органов исполнительной власти Республики Бурятия</t>
  </si>
  <si>
    <t>99900S4760</t>
  </si>
  <si>
    <t xml:space="preserve">            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</si>
  <si>
    <t xml:space="preserve">            Расходы на обеспечение деятельности (оказание услуг) муниципальных учреждений</t>
  </si>
  <si>
    <t xml:space="preserve">              Фонд оплаты труда учреждений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</si>
  <si>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</si>
  <si>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Проведение общественно-значимых мероприятий</t>
  </si>
  <si>
    <t>81701S4760</t>
  </si>
  <si>
    <t>73102S4760</t>
  </si>
  <si>
    <t>73101S4760</t>
  </si>
  <si>
    <t>73103S4760</t>
  </si>
  <si>
    <t>73301S4760</t>
  </si>
  <si>
    <t>78101S4760</t>
  </si>
  <si>
    <t xml:space="preserve">            Развитие муниципальных программ по сохранению и развитию бурятского языка</t>
  </si>
  <si>
    <t xml:space="preserve">            Проведение конкурса по сбору имущественных налогов</t>
  </si>
  <si>
    <t>78201R0500</t>
  </si>
  <si>
    <t xml:space="preserve">           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</si>
  <si>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78201S4760</t>
  </si>
  <si>
    <t>78301S4760</t>
  </si>
  <si>
    <t>78501S4760</t>
  </si>
  <si>
    <t xml:space="preserve">            Осуществление строительного контроля</t>
  </si>
  <si>
    <t xml:space="preserve">            Иные межбюджетные трансферты муниципальным образованиям на выполнение работ по изготовлению и установке бюстов</t>
  </si>
  <si>
    <t>75102S47В60</t>
  </si>
  <si>
    <t>75102S4760</t>
  </si>
  <si>
    <t>71101S4760</t>
  </si>
  <si>
    <t>71202S4760</t>
  </si>
  <si>
    <t xml:space="preserve">              Закупка товаров, работ, услуг в целях капитального ремонта государственного (муниципального) имущества</t>
  </si>
  <si>
    <t>7Э01600000</t>
  </si>
  <si>
    <t>7Э01609505</t>
  </si>
  <si>
    <t>7Э01700000</t>
  </si>
  <si>
    <t>7Э01709505</t>
  </si>
  <si>
    <t xml:space="preserve">          Капитальный ремонт тепловых сетей г.Закаменск</t>
  </si>
  <si>
    <t xml:space="preserve">            Создание, реконструкция и модернизация объектов коммунальной инфраструктуры с участием средств публично-правовой компании "Фонд развития территорий"</t>
  </si>
  <si>
    <t xml:space="preserve">          Капитальный ремонт водопроводных сетей г.Закаменск</t>
  </si>
  <si>
    <t xml:space="preserve">          Основное мероприятие "Разработка проектной документации по ликвидации накопленного вреда окружающей среде в с.Хамней Закаменского района (№730 ГРОНВОС)"</t>
  </si>
  <si>
    <t xml:space="preserve">          Основное мероприятие "Инструментальный замер объемов несанкционированных свалок отходов в Закаменском районе Республики Бурятия"</t>
  </si>
  <si>
    <t xml:space="preserve">          Основное мероприятие "Профилактика алкоголизма и наркомании"</t>
  </si>
  <si>
    <t>75107S4760</t>
  </si>
  <si>
    <t>Закаменское районное                               финансовое управление</t>
  </si>
  <si>
    <t>Республика Бурятия</t>
  </si>
  <si>
    <t>Буряад Республика</t>
  </si>
  <si>
    <t>671950, г. Закаменск, ул. Ленина, 17</t>
  </si>
  <si>
    <t>Закаменск хото, Ленинэй гудамжа, 17</t>
  </si>
  <si>
    <t>тел.  4-45-37, тел/факс 4-48-00</t>
  </si>
  <si>
    <r>
      <t>E-mail:admzakam@icm.buryatia.ru</t>
    </r>
    <r>
      <rPr>
        <sz val="12"/>
        <rFont val="Times New Roman"/>
        <family val="1"/>
        <charset val="204"/>
      </rPr>
      <t xml:space="preserve"> </t>
    </r>
  </si>
  <si>
    <t xml:space="preserve">            В  соответствии  со  ст. 184.2  Бюджетного  Кодекса  РФ   Закаменское  районное финансовое управление представляет оценку ожидаемого исполнения бюджета муниципального образования "Закаменский район" за 2024 год</t>
  </si>
  <si>
    <t xml:space="preserve">И.о. начальника Закаменского
районного финансового управления
</t>
  </si>
  <si>
    <t>Б.А. Аюрова</t>
  </si>
  <si>
    <t>№ ____ от  ”__”_________ 2024 г.</t>
  </si>
  <si>
    <t>Сумма на год, тыс рублей</t>
  </si>
  <si>
    <t>Приложение на 22 листах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</si>
</sst>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#,##0.000"/>
    <numFmt numFmtId="169" formatCode="0.0"/>
    <numFmt numFmtId="170" formatCode="0.000"/>
    <numFmt numFmtId="171" formatCode="0.00000"/>
    <numFmt numFmtId="172" formatCode="#,##0.00000"/>
    <numFmt numFmtId="173" formatCode="#,##0.000000"/>
    <numFmt numFmtId="174" formatCode="0.000000"/>
    <numFmt numFmtId="175" formatCode="#,##0.00000000"/>
    <numFmt numFmtId="176" formatCode="&quot;₽&quot;###,##0.00"/>
  </numFmts>
  <fonts count="110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color indexed="10"/>
      <name val="Arial Cyr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vertAlign val="superscript"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charset val="204"/>
    </font>
    <font>
      <b/>
      <sz val="12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70C0"/>
      <name val="Arial Cyr"/>
      <family val="2"/>
      <charset val="204"/>
    </font>
    <font>
      <sz val="10"/>
      <color rgb="FF0070C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Arial Cyr"/>
      <family val="2"/>
      <charset val="204"/>
    </font>
    <font>
      <sz val="12"/>
      <color rgb="FF0070C0"/>
      <name val="Arial Cyr"/>
      <charset val="204"/>
    </font>
    <font>
      <sz val="11"/>
      <color rgb="FF0070C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B050"/>
      <name val="Arial Cyr"/>
      <charset val="204"/>
    </font>
    <font>
      <sz val="11"/>
      <color rgb="FF00B05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1"/>
      <color rgb="FF0070C0"/>
      <name val="Arial Cyr"/>
      <charset val="204"/>
    </font>
    <font>
      <sz val="10"/>
      <color rgb="FFFFFF00"/>
      <name val="Arial Cyr"/>
      <charset val="204"/>
    </font>
    <font>
      <sz val="10"/>
      <color rgb="FFFFFF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 Cyr"/>
      <family val="2"/>
      <charset val="204"/>
    </font>
    <font>
      <sz val="9"/>
      <color rgb="FFFF0000"/>
      <name val="Arial Cyr"/>
      <charset val="204"/>
    </font>
    <font>
      <sz val="10"/>
      <color rgb="FF00B050"/>
      <name val="Arial"/>
      <family val="2"/>
      <charset val="204"/>
    </font>
    <font>
      <sz val="12"/>
      <color rgb="FFFF0000"/>
      <name val="Arial Cyr"/>
      <charset val="204"/>
    </font>
    <font>
      <sz val="14"/>
      <color rgb="FF0070C0"/>
      <name val="Times New Roman"/>
      <family val="1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115">
    <xf numFmtId="0" fontId="0" fillId="0" borderId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10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10" borderId="0" applyNumberFormat="0" applyBorder="0" applyAlignment="0" applyProtection="0"/>
    <xf numFmtId="0" fontId="64" fillId="12" borderId="0" applyNumberFormat="0" applyBorder="0" applyAlignment="0" applyProtection="0"/>
    <xf numFmtId="0" fontId="64" fillId="33" borderId="0" applyNumberFormat="0" applyBorder="0" applyAlignment="0" applyProtection="0"/>
    <xf numFmtId="0" fontId="64" fillId="13" borderId="0" applyNumberFormat="0" applyBorder="0" applyAlignment="0" applyProtection="0"/>
    <xf numFmtId="0" fontId="65" fillId="0" borderId="0"/>
    <xf numFmtId="0" fontId="65" fillId="0" borderId="0"/>
    <xf numFmtId="0" fontId="66" fillId="0" borderId="0"/>
    <xf numFmtId="0" fontId="66" fillId="0" borderId="0"/>
    <xf numFmtId="0" fontId="65" fillId="0" borderId="0"/>
    <xf numFmtId="0" fontId="66" fillId="34" borderId="0"/>
    <xf numFmtId="0" fontId="66" fillId="0" borderId="24">
      <alignment horizontal="center" vertical="center" wrapText="1"/>
    </xf>
    <xf numFmtId="0" fontId="66" fillId="0" borderId="25">
      <alignment horizontal="center" vertical="center" shrinkToFit="1"/>
    </xf>
    <xf numFmtId="0" fontId="67" fillId="0" borderId="26">
      <alignment horizontal="left"/>
    </xf>
    <xf numFmtId="0" fontId="66" fillId="0" borderId="27"/>
    <xf numFmtId="0" fontId="66" fillId="0" borderId="0">
      <alignment horizontal="left" vertical="top" wrapText="1"/>
    </xf>
    <xf numFmtId="0" fontId="68" fillId="0" borderId="0">
      <alignment horizontal="center" wrapText="1"/>
    </xf>
    <xf numFmtId="0" fontId="68" fillId="0" borderId="0">
      <alignment horizontal="center"/>
    </xf>
    <xf numFmtId="4" fontId="66" fillId="0" borderId="25">
      <alignment horizontal="right" vertical="top" shrinkToFit="1"/>
    </xf>
    <xf numFmtId="0" fontId="66" fillId="0" borderId="0">
      <alignment wrapText="1"/>
    </xf>
    <xf numFmtId="0" fontId="66" fillId="0" borderId="0">
      <alignment horizontal="right"/>
    </xf>
    <xf numFmtId="4" fontId="67" fillId="35" borderId="25">
      <alignment horizontal="right" vertical="top" shrinkToFit="1"/>
    </xf>
    <xf numFmtId="0" fontId="66" fillId="0" borderId="0"/>
    <xf numFmtId="0" fontId="66" fillId="0" borderId="0">
      <alignment horizontal="left" wrapText="1"/>
    </xf>
    <xf numFmtId="0" fontId="66" fillId="0" borderId="25">
      <alignment horizontal="left" vertical="top" wrapText="1"/>
    </xf>
    <xf numFmtId="0" fontId="67" fillId="0" borderId="25">
      <alignment horizontal="left" vertical="top" wrapText="1"/>
    </xf>
    <xf numFmtId="4" fontId="66" fillId="36" borderId="25">
      <alignment horizontal="right" vertical="top" shrinkToFit="1"/>
    </xf>
    <xf numFmtId="0" fontId="66" fillId="34" borderId="0">
      <alignment horizontal="center"/>
    </xf>
    <xf numFmtId="49" fontId="66" fillId="0" borderId="25">
      <alignment horizontal="left" vertical="top" wrapText="1"/>
    </xf>
    <xf numFmtId="4" fontId="66" fillId="0" borderId="25">
      <alignment horizontal="right" vertical="top" shrinkToFit="1"/>
    </xf>
    <xf numFmtId="4" fontId="66" fillId="0" borderId="0">
      <alignment horizontal="right" shrinkToFit="1"/>
    </xf>
    <xf numFmtId="0" fontId="37" fillId="11" borderId="0" applyNumberFormat="0" applyBorder="0" applyAlignment="0" applyProtection="0"/>
    <xf numFmtId="0" fontId="64" fillId="37" borderId="0" applyNumberFormat="0" applyBorder="0" applyAlignment="0" applyProtection="0"/>
    <xf numFmtId="0" fontId="37" fillId="14" borderId="0" applyNumberFormat="0" applyBorder="0" applyAlignment="0" applyProtection="0"/>
    <xf numFmtId="0" fontId="64" fillId="38" borderId="0" applyNumberFormat="0" applyBorder="0" applyAlignment="0" applyProtection="0"/>
    <xf numFmtId="0" fontId="37" fillId="15" borderId="0" applyNumberFormat="0" applyBorder="0" applyAlignment="0" applyProtection="0"/>
    <xf numFmtId="0" fontId="64" fillId="39" borderId="0" applyNumberFormat="0" applyBorder="0" applyAlignment="0" applyProtection="0"/>
    <xf numFmtId="0" fontId="37" fillId="16" borderId="0" applyNumberFormat="0" applyBorder="0" applyAlignment="0" applyProtection="0"/>
    <xf numFmtId="0" fontId="64" fillId="40" borderId="0" applyNumberFormat="0" applyBorder="0" applyAlignment="0" applyProtection="0"/>
    <xf numFmtId="0" fontId="37" fillId="11" borderId="0" applyNumberFormat="0" applyBorder="0" applyAlignment="0" applyProtection="0"/>
    <xf numFmtId="0" fontId="64" fillId="41" borderId="0" applyNumberFormat="0" applyBorder="0" applyAlignment="0" applyProtection="0"/>
    <xf numFmtId="0" fontId="37" fillId="17" borderId="0" applyNumberFormat="0" applyBorder="0" applyAlignment="0" applyProtection="0"/>
    <xf numFmtId="0" fontId="64" fillId="42" borderId="0" applyNumberFormat="0" applyBorder="0" applyAlignment="0" applyProtection="0"/>
    <xf numFmtId="0" fontId="38" fillId="4" borderId="1" applyNumberFormat="0" applyAlignment="0" applyProtection="0"/>
    <xf numFmtId="0" fontId="69" fillId="43" borderId="28" applyNumberFormat="0" applyAlignment="0" applyProtection="0"/>
    <xf numFmtId="0" fontId="39" fillId="2" borderId="2" applyNumberFormat="0" applyAlignment="0" applyProtection="0"/>
    <xf numFmtId="0" fontId="70" fillId="44" borderId="29" applyNumberFormat="0" applyAlignment="0" applyProtection="0"/>
    <xf numFmtId="0" fontId="40" fillId="2" borderId="1" applyNumberFormat="0" applyAlignment="0" applyProtection="0"/>
    <xf numFmtId="0" fontId="71" fillId="44" borderId="28" applyNumberFormat="0" applyAlignment="0" applyProtection="0"/>
    <xf numFmtId="165" fontId="53" fillId="0" borderId="0" applyFont="0" applyFill="0" applyBorder="0" applyAlignment="0" applyProtection="0"/>
    <xf numFmtId="0" fontId="41" fillId="0" borderId="3" applyNumberFormat="0" applyFill="0" applyAlignment="0" applyProtection="0"/>
    <xf numFmtId="0" fontId="72" fillId="0" borderId="30" applyNumberFormat="0" applyFill="0" applyAlignment="0" applyProtection="0"/>
    <xf numFmtId="0" fontId="42" fillId="0" borderId="4" applyNumberFormat="0" applyFill="0" applyAlignment="0" applyProtection="0"/>
    <xf numFmtId="0" fontId="73" fillId="0" borderId="31" applyNumberFormat="0" applyFill="0" applyAlignment="0" applyProtection="0"/>
    <xf numFmtId="0" fontId="43" fillId="0" borderId="5" applyNumberFormat="0" applyFill="0" applyAlignment="0" applyProtection="0"/>
    <xf numFmtId="0" fontId="74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75" fillId="0" borderId="33" applyNumberFormat="0" applyFill="0" applyAlignment="0" applyProtection="0"/>
    <xf numFmtId="0" fontId="45" fillId="18" borderId="7" applyNumberFormat="0" applyAlignment="0" applyProtection="0"/>
    <xf numFmtId="0" fontId="76" fillId="45" borderId="34" applyNumberFormat="0" applyAlignment="0" applyProtection="0"/>
    <xf numFmtId="0" fontId="4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9" borderId="0" applyNumberFormat="0" applyBorder="0" applyAlignment="0" applyProtection="0"/>
    <xf numFmtId="0" fontId="78" fillId="46" borderId="0" applyNumberFormat="0" applyBorder="0" applyAlignment="0" applyProtection="0"/>
    <xf numFmtId="0" fontId="1" fillId="0" borderId="0"/>
    <xf numFmtId="0" fontId="53" fillId="0" borderId="0"/>
    <xf numFmtId="0" fontId="14" fillId="0" borderId="0"/>
    <xf numFmtId="0" fontId="53" fillId="19" borderId="0"/>
    <xf numFmtId="0" fontId="53" fillId="19" borderId="0"/>
    <xf numFmtId="0" fontId="53" fillId="19" borderId="0"/>
    <xf numFmtId="0" fontId="53" fillId="19" borderId="0"/>
    <xf numFmtId="0" fontId="63" fillId="0" borderId="0"/>
    <xf numFmtId="0" fontId="65" fillId="0" borderId="0"/>
    <xf numFmtId="0" fontId="26" fillId="0" borderId="0"/>
    <xf numFmtId="0" fontId="1" fillId="0" borderId="0"/>
    <xf numFmtId="0" fontId="53" fillId="0" borderId="0"/>
    <xf numFmtId="0" fontId="5" fillId="0" borderId="0"/>
    <xf numFmtId="0" fontId="53" fillId="0" borderId="0"/>
    <xf numFmtId="0" fontId="26" fillId="0" borderId="0"/>
    <xf numFmtId="0" fontId="5" fillId="0" borderId="0"/>
    <xf numFmtId="0" fontId="48" fillId="5" borderId="0" applyNumberFormat="0" applyBorder="0" applyAlignment="0" applyProtection="0"/>
    <xf numFmtId="0" fontId="79" fillId="47" borderId="0" applyNumberFormat="0" applyBorder="0" applyAlignment="0" applyProtection="0"/>
    <xf numFmtId="0" fontId="4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36" fillId="48" borderId="35" applyNumberFormat="0" applyFont="0" applyAlignment="0" applyProtection="0"/>
    <xf numFmtId="0" fontId="50" fillId="0" borderId="9" applyNumberFormat="0" applyFill="0" applyAlignment="0" applyProtection="0"/>
    <xf numFmtId="0" fontId="81" fillId="0" borderId="36" applyNumberFormat="0" applyFill="0" applyAlignment="0" applyProtection="0"/>
    <xf numFmtId="0" fontId="5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0" fontId="52" fillId="7" borderId="0" applyNumberFormat="0" applyBorder="0" applyAlignment="0" applyProtection="0"/>
    <xf numFmtId="0" fontId="83" fillId="49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</cellStyleXfs>
  <cellXfs count="811">
    <xf numFmtId="0" fontId="0" fillId="0" borderId="0" xfId="0"/>
    <xf numFmtId="0" fontId="3" fillId="0" borderId="10" xfId="0" applyFont="1" applyBorder="1" applyAlignment="1">
      <alignment vertical="top" wrapText="1"/>
    </xf>
    <xf numFmtId="0" fontId="1" fillId="0" borderId="0" xfId="90"/>
    <xf numFmtId="0" fontId="2" fillId="0" borderId="0" xfId="0" applyFont="1" applyAlignment="1">
      <alignment horizontal="right"/>
    </xf>
    <xf numFmtId="0" fontId="5" fillId="0" borderId="0" xfId="92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 applyAlignment="1">
      <alignment horizontal="center" vertical="top" wrapText="1"/>
    </xf>
    <xf numFmtId="0" fontId="21" fillId="0" borderId="11" xfId="0" applyFont="1" applyFill="1" applyBorder="1" applyAlignment="1"/>
    <xf numFmtId="49" fontId="24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top" wrapText="1"/>
    </xf>
    <xf numFmtId="167" fontId="24" fillId="0" borderId="10" xfId="0" applyNumberFormat="1" applyFont="1" applyFill="1" applyBorder="1" applyAlignment="1">
      <alignment vertical="top"/>
    </xf>
    <xf numFmtId="49" fontId="21" fillId="0" borderId="12" xfId="0" applyNumberFormat="1" applyFont="1" applyFill="1" applyBorder="1" applyAlignment="1">
      <alignment horizontal="center" vertical="top" wrapText="1"/>
    </xf>
    <xf numFmtId="167" fontId="21" fillId="0" borderId="13" xfId="0" applyNumberFormat="1" applyFont="1" applyFill="1" applyBorder="1" applyAlignment="1">
      <alignment vertical="top"/>
    </xf>
    <xf numFmtId="49" fontId="21" fillId="0" borderId="10" xfId="0" applyNumberFormat="1" applyFont="1" applyFill="1" applyBorder="1" applyAlignment="1">
      <alignment horizontal="center" vertical="top" wrapText="1"/>
    </xf>
    <xf numFmtId="167" fontId="21" fillId="0" borderId="10" xfId="0" applyNumberFormat="1" applyFont="1" applyFill="1" applyBorder="1" applyAlignment="1">
      <alignment vertical="top"/>
    </xf>
    <xf numFmtId="49" fontId="21" fillId="0" borderId="14" xfId="0" applyNumberFormat="1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49" fontId="21" fillId="0" borderId="14" xfId="0" applyNumberFormat="1" applyFont="1" applyBorder="1" applyAlignment="1">
      <alignment horizontal="center" vertical="top" wrapText="1"/>
    </xf>
    <xf numFmtId="0" fontId="21" fillId="0" borderId="14" xfId="0" applyFont="1" applyBorder="1" applyAlignment="1">
      <alignment horizontal="left" vertical="top" wrapText="1"/>
    </xf>
    <xf numFmtId="167" fontId="21" fillId="0" borderId="14" xfId="0" applyNumberFormat="1" applyFont="1" applyFill="1" applyBorder="1" applyAlignment="1">
      <alignment vertical="top"/>
    </xf>
    <xf numFmtId="0" fontId="23" fillId="0" borderId="0" xfId="0" applyFont="1"/>
    <xf numFmtId="0" fontId="21" fillId="0" borderId="14" xfId="0" applyFont="1" applyFill="1" applyBorder="1" applyAlignment="1">
      <alignment horizontal="left" vertical="top" wrapText="1"/>
    </xf>
    <xf numFmtId="49" fontId="21" fillId="0" borderId="10" xfId="0" applyNumberFormat="1" applyFont="1" applyBorder="1" applyAlignment="1">
      <alignment horizontal="center" vertical="top" wrapText="1"/>
    </xf>
    <xf numFmtId="167" fontId="24" fillId="0" borderId="14" xfId="0" applyNumberFormat="1" applyFont="1" applyFill="1" applyBorder="1" applyAlignment="1">
      <alignment vertical="top"/>
    </xf>
    <xf numFmtId="49" fontId="22" fillId="0" borderId="10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167" fontId="21" fillId="0" borderId="10" xfId="0" applyNumberFormat="1" applyFont="1" applyFill="1" applyBorder="1" applyAlignment="1"/>
    <xf numFmtId="0" fontId="24" fillId="0" borderId="10" xfId="0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167" fontId="21" fillId="0" borderId="10" xfId="0" applyNumberFormat="1" applyFont="1" applyFill="1" applyBorder="1" applyAlignment="1">
      <alignment horizontal="right" vertical="top"/>
    </xf>
    <xf numFmtId="0" fontId="21" fillId="0" borderId="12" xfId="0" applyFont="1" applyFill="1" applyBorder="1" applyAlignment="1">
      <alignment horizontal="left" vertical="top" wrapText="1"/>
    </xf>
    <xf numFmtId="167" fontId="24" fillId="0" borderId="10" xfId="0" applyNumberFormat="1" applyFont="1" applyFill="1" applyBorder="1" applyAlignment="1"/>
    <xf numFmtId="167" fontId="23" fillId="0" borderId="10" xfId="0" applyNumberFormat="1" applyFont="1" applyBorder="1" applyAlignment="1"/>
    <xf numFmtId="0" fontId="24" fillId="0" borderId="0" xfId="0" quotePrefix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1" fillId="0" borderId="0" xfId="90" applyNumberFormat="1"/>
    <xf numFmtId="167" fontId="5" fillId="0" borderId="0" xfId="92" applyNumberFormat="1"/>
    <xf numFmtId="167" fontId="5" fillId="0" borderId="0" xfId="92" applyNumberFormat="1" applyFont="1"/>
    <xf numFmtId="167" fontId="11" fillId="0" borderId="10" xfId="92" applyNumberFormat="1" applyFont="1" applyFill="1" applyBorder="1"/>
    <xf numFmtId="167" fontId="11" fillId="20" borderId="10" xfId="92" applyNumberFormat="1" applyFont="1" applyFill="1" applyBorder="1"/>
    <xf numFmtId="167" fontId="9" fillId="0" borderId="10" xfId="92" applyNumberFormat="1" applyFont="1" applyFill="1" applyBorder="1"/>
    <xf numFmtId="167" fontId="20" fillId="0" borderId="0" xfId="92" applyNumberFormat="1" applyFont="1"/>
    <xf numFmtId="0" fontId="27" fillId="0" borderId="0" xfId="90" applyFont="1" applyAlignment="1">
      <alignment horizontal="center"/>
    </xf>
    <xf numFmtId="0" fontId="29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167" fontId="1" fillId="0" borderId="10" xfId="90" applyNumberFormat="1" applyBorder="1" applyAlignment="1">
      <alignment horizontal="center" vertical="center" wrapText="1"/>
    </xf>
    <xf numFmtId="167" fontId="7" fillId="0" borderId="10" xfId="90" applyNumberFormat="1" applyFont="1" applyBorder="1" applyAlignment="1">
      <alignment horizontal="center" vertical="center" wrapText="1"/>
    </xf>
    <xf numFmtId="167" fontId="1" fillId="0" borderId="14" xfId="90" applyNumberForma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0" fillId="0" borderId="10" xfId="0" applyFont="1" applyBorder="1" applyAlignment="1">
      <alignment horizontal="center" vertical="top" wrapText="1"/>
    </xf>
    <xf numFmtId="167" fontId="7" fillId="0" borderId="14" xfId="90" applyNumberFormat="1" applyFont="1" applyFill="1" applyBorder="1" applyAlignment="1">
      <alignment horizontal="center" vertical="center" wrapText="1"/>
    </xf>
    <xf numFmtId="167" fontId="1" fillId="0" borderId="14" xfId="90" applyNumberFormat="1" applyFill="1" applyBorder="1" applyAlignment="1">
      <alignment horizontal="center" vertical="center" wrapText="1"/>
    </xf>
    <xf numFmtId="0" fontId="1" fillId="0" borderId="10" xfId="90" applyBorder="1"/>
    <xf numFmtId="0" fontId="13" fillId="0" borderId="10" xfId="90" applyFont="1" applyBorder="1"/>
    <xf numFmtId="167" fontId="13" fillId="0" borderId="10" xfId="9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26" fillId="0" borderId="0" xfId="89" applyAlignment="1"/>
    <xf numFmtId="0" fontId="26" fillId="0" borderId="0" xfId="89" applyFont="1" applyAlignment="1">
      <alignment horizontal="right"/>
    </xf>
    <xf numFmtId="0" fontId="28" fillId="0" borderId="0" xfId="89" applyFont="1" applyAlignment="1">
      <alignment horizontal="center" vertical="center" wrapText="1"/>
    </xf>
    <xf numFmtId="0" fontId="26" fillId="0" borderId="0" xfId="89"/>
    <xf numFmtId="0" fontId="0" fillId="0" borderId="0" xfId="0" applyAlignment="1">
      <alignment horizontal="center"/>
    </xf>
    <xf numFmtId="49" fontId="9" fillId="0" borderId="10" xfId="92" applyNumberFormat="1" applyFont="1" applyFill="1" applyBorder="1" applyAlignment="1">
      <alignment horizontal="center"/>
    </xf>
    <xf numFmtId="49" fontId="11" fillId="0" borderId="10" xfId="92" applyNumberFormat="1" applyFont="1" applyFill="1" applyBorder="1" applyAlignment="1">
      <alignment horizontal="center"/>
    </xf>
    <xf numFmtId="49" fontId="11" fillId="20" borderId="10" xfId="92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167" fontId="25" fillId="0" borderId="10" xfId="0" applyNumberFormat="1" applyFont="1" applyFill="1" applyBorder="1" applyAlignment="1"/>
    <xf numFmtId="167" fontId="24" fillId="0" borderId="10" xfId="0" applyNumberFormat="1" applyFont="1" applyFill="1" applyBorder="1" applyAlignment="1">
      <alignment horizontal="right" vertical="top" wrapText="1"/>
    </xf>
    <xf numFmtId="167" fontId="21" fillId="0" borderId="13" xfId="0" applyNumberFormat="1" applyFont="1" applyFill="1" applyBorder="1" applyAlignment="1">
      <alignment horizontal="right" vertical="top" wrapText="1"/>
    </xf>
    <xf numFmtId="167" fontId="21" fillId="0" borderId="10" xfId="0" applyNumberFormat="1" applyFont="1" applyFill="1" applyBorder="1" applyAlignment="1">
      <alignment horizontal="right" vertical="top" wrapText="1"/>
    </xf>
    <xf numFmtId="167" fontId="21" fillId="0" borderId="13" xfId="0" applyNumberFormat="1" applyFont="1" applyFill="1" applyBorder="1" applyAlignment="1">
      <alignment horizontal="left" vertical="top" wrapText="1"/>
    </xf>
    <xf numFmtId="167" fontId="21" fillId="0" borderId="12" xfId="0" applyNumberFormat="1" applyFont="1" applyBorder="1" applyAlignment="1">
      <alignment horizontal="left" vertical="top" wrapText="1"/>
    </xf>
    <xf numFmtId="167" fontId="21" fillId="0" borderId="14" xfId="0" applyNumberFormat="1" applyFont="1" applyFill="1" applyBorder="1" applyAlignment="1">
      <alignment horizontal="left" vertical="top" wrapText="1"/>
    </xf>
    <xf numFmtId="167" fontId="21" fillId="0" borderId="14" xfId="0" applyNumberFormat="1" applyFont="1" applyFill="1" applyBorder="1" applyAlignment="1">
      <alignment horizontal="right" vertical="top" wrapText="1"/>
    </xf>
    <xf numFmtId="0" fontId="4" fillId="0" borderId="0" xfId="89" applyFont="1" applyAlignment="1"/>
    <xf numFmtId="0" fontId="4" fillId="0" borderId="0" xfId="89" applyFont="1"/>
    <xf numFmtId="0" fontId="29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49" fontId="53" fillId="0" borderId="10" xfId="0" applyNumberFormat="1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49" fontId="53" fillId="0" borderId="10" xfId="0" applyNumberFormat="1" applyFont="1" applyFill="1" applyBorder="1" applyAlignment="1">
      <alignment horizontal="center" vertical="center" wrapText="1"/>
    </xf>
    <xf numFmtId="49" fontId="53" fillId="0" borderId="10" xfId="0" applyNumberFormat="1" applyFont="1" applyBorder="1" applyAlignment="1">
      <alignment horizontal="center" vertical="center"/>
    </xf>
    <xf numFmtId="167" fontId="0" fillId="0" borderId="0" xfId="0" applyNumberFormat="1"/>
    <xf numFmtId="0" fontId="35" fillId="0" borderId="10" xfId="0" applyFont="1" applyBorder="1" applyAlignment="1">
      <alignment horizontal="justify" vertical="top" wrapText="1"/>
    </xf>
    <xf numFmtId="0" fontId="35" fillId="0" borderId="10" xfId="0" applyFont="1" applyBorder="1" applyAlignment="1">
      <alignment vertical="top" wrapText="1"/>
    </xf>
    <xf numFmtId="0" fontId="35" fillId="0" borderId="10" xfId="0" applyFont="1" applyBorder="1" applyAlignment="1">
      <alignment vertical="center" wrapText="1"/>
    </xf>
    <xf numFmtId="0" fontId="35" fillId="0" borderId="10" xfId="0" applyFont="1" applyFill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10" xfId="89" applyNumberFormat="1" applyFont="1" applyBorder="1" applyAlignment="1">
      <alignment horizontal="center" vertical="center" wrapText="1"/>
    </xf>
    <xf numFmtId="0" fontId="30" fillId="0" borderId="10" xfId="89" applyFont="1" applyBorder="1" applyAlignment="1">
      <alignment vertical="center" wrapText="1"/>
    </xf>
    <xf numFmtId="0" fontId="4" fillId="0" borderId="10" xfId="89" applyFont="1" applyBorder="1" applyAlignment="1">
      <alignment vertical="center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vertical="center" wrapText="1"/>
    </xf>
    <xf numFmtId="0" fontId="4" fillId="0" borderId="10" xfId="95" applyFont="1" applyFill="1" applyBorder="1" applyAlignment="1">
      <alignment horizontal="center" vertical="center" wrapText="1"/>
    </xf>
    <xf numFmtId="0" fontId="35" fillId="0" borderId="10" xfId="89" applyFont="1" applyBorder="1" applyAlignment="1">
      <alignment vertical="center" wrapText="1"/>
    </xf>
    <xf numFmtId="0" fontId="30" fillId="0" borderId="10" xfId="0" applyFont="1" applyFill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49" fontId="4" fillId="0" borderId="10" xfId="89" applyNumberFormat="1" applyFont="1" applyBorder="1" applyAlignment="1">
      <alignment horizontal="center"/>
    </xf>
    <xf numFmtId="167" fontId="21" fillId="0" borderId="14" xfId="0" applyNumberFormat="1" applyFont="1" applyFill="1" applyBorder="1" applyAlignment="1">
      <alignment horizontal="right" vertical="top"/>
    </xf>
    <xf numFmtId="49" fontId="0" fillId="0" borderId="10" xfId="0" applyNumberFormat="1" applyBorder="1" applyAlignment="1">
      <alignment horizontal="center" vertical="center" wrapText="1"/>
    </xf>
    <xf numFmtId="167" fontId="24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/>
    <xf numFmtId="167" fontId="2" fillId="0" borderId="10" xfId="89" applyNumberFormat="1" applyFont="1" applyBorder="1" applyAlignment="1">
      <alignment horizontal="center"/>
    </xf>
    <xf numFmtId="167" fontId="2" fillId="0" borderId="10" xfId="89" applyNumberFormat="1" applyFont="1" applyFill="1" applyBorder="1" applyAlignment="1">
      <alignment horizontal="center"/>
    </xf>
    <xf numFmtId="167" fontId="3" fillId="0" borderId="10" xfId="89" applyNumberFormat="1" applyFont="1" applyFill="1" applyBorder="1" applyAlignment="1">
      <alignment horizontal="center"/>
    </xf>
    <xf numFmtId="0" fontId="32" fillId="0" borderId="0" xfId="90" applyFont="1"/>
    <xf numFmtId="2" fontId="7" fillId="0" borderId="0" xfId="92" applyNumberFormat="1" applyFont="1" applyAlignment="1">
      <alignment wrapText="1"/>
    </xf>
    <xf numFmtId="2" fontId="11" fillId="0" borderId="10" xfId="92" applyNumberFormat="1" applyFont="1" applyFill="1" applyBorder="1" applyAlignment="1">
      <alignment wrapText="1"/>
    </xf>
    <xf numFmtId="2" fontId="11" fillId="0" borderId="10" xfId="92" applyNumberFormat="1" applyFont="1" applyFill="1" applyBorder="1" applyAlignment="1">
      <alignment vertical="center" wrapText="1"/>
    </xf>
    <xf numFmtId="2" fontId="11" fillId="20" borderId="10" xfId="92" applyNumberFormat="1" applyFont="1" applyFill="1" applyBorder="1" applyAlignment="1">
      <alignment wrapText="1"/>
    </xf>
    <xf numFmtId="2" fontId="53" fillId="0" borderId="10" xfId="92" applyNumberFormat="1" applyFont="1" applyFill="1" applyBorder="1" applyAlignment="1">
      <alignment wrapText="1"/>
    </xf>
    <xf numFmtId="2" fontId="19" fillId="0" borderId="10" xfId="92" applyNumberFormat="1" applyFont="1" applyFill="1" applyBorder="1" applyAlignment="1">
      <alignment wrapText="1"/>
    </xf>
    <xf numFmtId="2" fontId="5" fillId="0" borderId="0" xfId="92" applyNumberFormat="1" applyFont="1" applyAlignment="1">
      <alignment wrapText="1"/>
    </xf>
    <xf numFmtId="2" fontId="53" fillId="20" borderId="10" xfId="92" applyNumberFormat="1" applyFont="1" applyFill="1" applyBorder="1" applyAlignment="1">
      <alignment wrapText="1"/>
    </xf>
    <xf numFmtId="49" fontId="11" fillId="20" borderId="10" xfId="92" applyNumberFormat="1" applyFont="1" applyFill="1" applyBorder="1" applyAlignment="1">
      <alignment horizontal="center" wrapText="1"/>
    </xf>
    <xf numFmtId="167" fontId="12" fillId="0" borderId="10" xfId="92" applyNumberFormat="1" applyFont="1" applyFill="1" applyBorder="1"/>
    <xf numFmtId="167" fontId="53" fillId="0" borderId="10" xfId="92" applyNumberFormat="1" applyFont="1" applyFill="1" applyBorder="1"/>
    <xf numFmtId="49" fontId="53" fillId="0" borderId="10" xfId="92" applyNumberFormat="1" applyFont="1" applyFill="1" applyBorder="1" applyAlignment="1">
      <alignment horizontal="center"/>
    </xf>
    <xf numFmtId="49" fontId="53" fillId="20" borderId="10" xfId="92" applyNumberFormat="1" applyFont="1" applyFill="1" applyBorder="1" applyAlignment="1">
      <alignment horizontal="center"/>
    </xf>
    <xf numFmtId="167" fontId="53" fillId="20" borderId="10" xfId="92" applyNumberFormat="1" applyFont="1" applyFill="1" applyBorder="1"/>
    <xf numFmtId="49" fontId="11" fillId="0" borderId="10" xfId="92" applyNumberFormat="1" applyFont="1" applyFill="1" applyBorder="1" applyAlignment="1">
      <alignment horizontal="center" wrapText="1"/>
    </xf>
    <xf numFmtId="167" fontId="33" fillId="20" borderId="10" xfId="92" applyNumberFormat="1" applyFont="1" applyFill="1" applyBorder="1"/>
    <xf numFmtId="2" fontId="0" fillId="0" borderId="10" xfId="92" applyNumberFormat="1" applyFont="1" applyFill="1" applyBorder="1" applyAlignment="1">
      <alignment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67" fontId="11" fillId="0" borderId="10" xfId="92" applyNumberFormat="1" applyFont="1" applyFill="1" applyBorder="1" applyAlignment="1"/>
    <xf numFmtId="167" fontId="11" fillId="20" borderId="10" xfId="92" applyNumberFormat="1" applyFont="1" applyFill="1" applyBorder="1" applyAlignment="1"/>
    <xf numFmtId="0" fontId="56" fillId="0" borderId="0" xfId="0" applyFont="1"/>
    <xf numFmtId="0" fontId="0" fillId="0" borderId="10" xfId="0" applyFont="1" applyBorder="1" applyAlignment="1">
      <alignment horizontal="center" vertical="center" wrapText="1"/>
    </xf>
    <xf numFmtId="167" fontId="0" fillId="0" borderId="10" xfId="0" applyNumberFormat="1" applyFont="1" applyBorder="1"/>
    <xf numFmtId="0" fontId="0" fillId="0" borderId="0" xfId="0" applyFont="1"/>
    <xf numFmtId="170" fontId="1" fillId="0" borderId="0" xfId="90" applyNumberFormat="1"/>
    <xf numFmtId="167" fontId="11" fillId="22" borderId="10" xfId="92" applyNumberFormat="1" applyFont="1" applyFill="1" applyBorder="1"/>
    <xf numFmtId="167" fontId="53" fillId="22" borderId="10" xfId="92" applyNumberFormat="1" applyFont="1" applyFill="1" applyBorder="1"/>
    <xf numFmtId="167" fontId="53" fillId="20" borderId="10" xfId="92" applyNumberFormat="1" applyFont="1" applyFill="1" applyBorder="1" applyAlignment="1"/>
    <xf numFmtId="0" fontId="60" fillId="0" borderId="10" xfId="0" applyFont="1" applyBorder="1" applyAlignment="1">
      <alignment horizontal="center" vertical="center" wrapText="1"/>
    </xf>
    <xf numFmtId="167" fontId="5" fillId="0" borderId="0" xfId="92" applyNumberFormat="1" applyFont="1" applyAlignment="1">
      <alignment wrapText="1"/>
    </xf>
    <xf numFmtId="167" fontId="58" fillId="0" borderId="0" xfId="89" applyNumberFormat="1" applyFont="1"/>
    <xf numFmtId="0" fontId="4" fillId="0" borderId="10" xfId="0" applyFont="1" applyBorder="1"/>
    <xf numFmtId="0" fontId="4" fillId="23" borderId="10" xfId="94" applyFont="1" applyFill="1" applyBorder="1" applyAlignment="1">
      <alignment horizontal="justify" vertical="center" wrapText="1"/>
    </xf>
    <xf numFmtId="0" fontId="30" fillId="0" borderId="10" xfId="93" applyFont="1" applyFill="1" applyBorder="1" applyAlignment="1">
      <alignment vertical="center" wrapText="1"/>
    </xf>
    <xf numFmtId="0" fontId="4" fillId="0" borderId="10" xfId="0" applyFont="1" applyBorder="1" applyAlignment="1">
      <alignment horizontal="justify"/>
    </xf>
    <xf numFmtId="0" fontId="4" fillId="0" borderId="10" xfId="0" applyFont="1" applyBorder="1" applyAlignment="1">
      <alignment vertical="center" wrapText="1" shrinkToFit="1"/>
    </xf>
    <xf numFmtId="0" fontId="4" fillId="0" borderId="10" xfId="0" applyFont="1" applyFill="1" applyBorder="1" applyAlignment="1">
      <alignment horizontal="justify" vertical="top" wrapText="1"/>
    </xf>
    <xf numFmtId="49" fontId="4" fillId="0" borderId="10" xfId="89" applyNumberFormat="1" applyFont="1" applyBorder="1" applyAlignment="1"/>
    <xf numFmtId="49" fontId="4" fillId="0" borderId="10" xfId="89" applyNumberFormat="1" applyFont="1" applyBorder="1" applyAlignment="1">
      <alignment horizontal="left"/>
    </xf>
    <xf numFmtId="167" fontId="26" fillId="0" borderId="0" xfId="89" applyNumberFormat="1"/>
    <xf numFmtId="49" fontId="35" fillId="0" borderId="10" xfId="89" applyNumberFormat="1" applyFont="1" applyBorder="1" applyAlignment="1"/>
    <xf numFmtId="49" fontId="35" fillId="0" borderId="10" xfId="89" applyNumberFormat="1" applyFont="1" applyBorder="1" applyAlignment="1">
      <alignment horizontal="left"/>
    </xf>
    <xf numFmtId="0" fontId="0" fillId="0" borderId="0" xfId="90" applyFont="1"/>
    <xf numFmtId="0" fontId="29" fillId="0" borderId="0" xfId="93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2" fontId="53" fillId="0" borderId="0" xfId="91" applyNumberFormat="1" applyFont="1" applyAlignment="1">
      <alignment wrapText="1"/>
    </xf>
    <xf numFmtId="0" fontId="53" fillId="0" borderId="0" xfId="91" applyFont="1"/>
    <xf numFmtId="167" fontId="53" fillId="0" borderId="0" xfId="91" applyNumberFormat="1" applyFont="1"/>
    <xf numFmtId="167" fontId="53" fillId="0" borderId="0" xfId="91" applyNumberFormat="1"/>
    <xf numFmtId="0" fontId="53" fillId="0" borderId="0" xfId="91"/>
    <xf numFmtId="167" fontId="5" fillId="0" borderId="0" xfId="92" applyNumberFormat="1" applyFont="1" applyAlignment="1">
      <alignment horizontal="right"/>
    </xf>
    <xf numFmtId="0" fontId="10" fillId="0" borderId="0" xfId="91" applyFont="1"/>
    <xf numFmtId="167" fontId="57" fillId="0" borderId="10" xfId="92" applyNumberFormat="1" applyFont="1" applyFill="1" applyBorder="1"/>
    <xf numFmtId="167" fontId="57" fillId="20" borderId="10" xfId="92" applyNumberFormat="1" applyFont="1" applyFill="1" applyBorder="1"/>
    <xf numFmtId="167" fontId="57" fillId="22" borderId="10" xfId="92" applyNumberFormat="1" applyFont="1" applyFill="1" applyBorder="1"/>
    <xf numFmtId="167" fontId="53" fillId="23" borderId="10" xfId="92" applyNumberFormat="1" applyFont="1" applyFill="1" applyBorder="1"/>
    <xf numFmtId="0" fontId="13" fillId="0" borderId="0" xfId="91" applyFont="1"/>
    <xf numFmtId="0" fontId="53" fillId="0" borderId="0" xfId="91" applyFill="1"/>
    <xf numFmtId="0" fontId="16" fillId="0" borderId="0" xfId="91" applyFont="1"/>
    <xf numFmtId="167" fontId="57" fillId="20" borderId="10" xfId="92" applyNumberFormat="1" applyFont="1" applyFill="1" applyBorder="1" applyAlignment="1"/>
    <xf numFmtId="167" fontId="16" fillId="0" borderId="10" xfId="92" applyNumberFormat="1" applyFont="1" applyFill="1" applyBorder="1"/>
    <xf numFmtId="0" fontId="16" fillId="0" borderId="0" xfId="91" applyFont="1" applyFill="1"/>
    <xf numFmtId="167" fontId="16" fillId="20" borderId="10" xfId="92" applyNumberFormat="1" applyFont="1" applyFill="1" applyBorder="1"/>
    <xf numFmtId="0" fontId="57" fillId="0" borderId="0" xfId="91" applyFont="1"/>
    <xf numFmtId="167" fontId="16" fillId="22" borderId="10" xfId="92" applyNumberFormat="1" applyFont="1" applyFill="1" applyBorder="1"/>
    <xf numFmtId="0" fontId="53" fillId="20" borderId="0" xfId="91" applyFill="1"/>
    <xf numFmtId="167" fontId="57" fillId="20" borderId="10" xfId="92" applyNumberFormat="1" applyFont="1" applyFill="1" applyBorder="1" applyAlignment="1">
      <alignment wrapText="1"/>
    </xf>
    <xf numFmtId="167" fontId="11" fillId="20" borderId="10" xfId="92" applyNumberFormat="1" applyFont="1" applyFill="1" applyBorder="1" applyAlignment="1">
      <alignment wrapText="1"/>
    </xf>
    <xf numFmtId="2" fontId="0" fillId="20" borderId="10" xfId="92" applyNumberFormat="1" applyFont="1" applyFill="1" applyBorder="1" applyAlignment="1">
      <alignment wrapText="1"/>
    </xf>
    <xf numFmtId="167" fontId="59" fillId="0" borderId="10" xfId="92" applyNumberFormat="1" applyFont="1" applyFill="1" applyBorder="1"/>
    <xf numFmtId="0" fontId="17" fillId="0" borderId="0" xfId="91" applyFont="1"/>
    <xf numFmtId="167" fontId="16" fillId="0" borderId="0" xfId="91" applyNumberFormat="1" applyFont="1"/>
    <xf numFmtId="167" fontId="32" fillId="0" borderId="0" xfId="90" applyNumberFormat="1" applyFont="1"/>
    <xf numFmtId="0" fontId="29" fillId="0" borderId="13" xfId="0" applyFont="1" applyBorder="1" applyAlignment="1">
      <alignment horizontal="center" vertical="center" wrapText="1"/>
    </xf>
    <xf numFmtId="0" fontId="29" fillId="20" borderId="10" xfId="0" applyFont="1" applyFill="1" applyBorder="1" applyAlignment="1">
      <alignment horizontal="center" vertical="center" wrapText="1"/>
    </xf>
    <xf numFmtId="49" fontId="0" fillId="50" borderId="10" xfId="0" applyNumberFormat="1" applyFill="1" applyBorder="1" applyAlignment="1">
      <alignment horizontal="center" vertical="center" wrapText="1"/>
    </xf>
    <xf numFmtId="0" fontId="29" fillId="50" borderId="10" xfId="0" applyFont="1" applyFill="1" applyBorder="1" applyAlignment="1">
      <alignment horizontal="center" vertical="center" wrapText="1"/>
    </xf>
    <xf numFmtId="0" fontId="35" fillId="50" borderId="10" xfId="0" applyFont="1" applyFill="1" applyBorder="1" applyAlignment="1">
      <alignment vertical="top" wrapText="1"/>
    </xf>
    <xf numFmtId="0" fontId="4" fillId="50" borderId="10" xfId="0" applyFont="1" applyFill="1" applyBorder="1" applyAlignment="1">
      <alignment vertical="top" wrapText="1"/>
    </xf>
    <xf numFmtId="49" fontId="53" fillId="50" borderId="10" xfId="0" applyNumberFormat="1" applyFont="1" applyFill="1" applyBorder="1" applyAlignment="1">
      <alignment horizontal="center" vertical="center" wrapText="1"/>
    </xf>
    <xf numFmtId="49" fontId="53" fillId="51" borderId="10" xfId="0" applyNumberFormat="1" applyFont="1" applyFill="1" applyBorder="1" applyAlignment="1">
      <alignment horizontal="center" vertical="center" wrapText="1"/>
    </xf>
    <xf numFmtId="0" fontId="29" fillId="51" borderId="10" xfId="0" applyFont="1" applyFill="1" applyBorder="1" applyAlignment="1">
      <alignment horizontal="center" vertical="center" wrapText="1"/>
    </xf>
    <xf numFmtId="49" fontId="53" fillId="52" borderId="10" xfId="0" applyNumberFormat="1" applyFont="1" applyFill="1" applyBorder="1" applyAlignment="1">
      <alignment horizontal="center" vertical="center" wrapText="1"/>
    </xf>
    <xf numFmtId="0" fontId="29" fillId="52" borderId="10" xfId="0" applyFont="1" applyFill="1" applyBorder="1" applyAlignment="1">
      <alignment horizontal="center" vertical="center" wrapText="1"/>
    </xf>
    <xf numFmtId="0" fontId="3" fillId="0" borderId="0" xfId="89" applyFont="1" applyAlignment="1">
      <alignment horizontal="right"/>
    </xf>
    <xf numFmtId="167" fontId="10" fillId="0" borderId="0" xfId="91" applyNumberFormat="1" applyFont="1"/>
    <xf numFmtId="49" fontId="35" fillId="50" borderId="10" xfId="0" applyNumberFormat="1" applyFont="1" applyFill="1" applyBorder="1" applyAlignment="1">
      <alignment horizontal="left" vertical="center" wrapText="1"/>
    </xf>
    <xf numFmtId="49" fontId="29" fillId="50" borderId="10" xfId="0" applyNumberFormat="1" applyFont="1" applyFill="1" applyBorder="1" applyAlignment="1">
      <alignment horizontal="center" vertical="center" wrapText="1"/>
    </xf>
    <xf numFmtId="167" fontId="4" fillId="20" borderId="10" xfId="92" applyNumberFormat="1" applyFont="1" applyFill="1" applyBorder="1"/>
    <xf numFmtId="49" fontId="30" fillId="0" borderId="10" xfId="89" applyNumberFormat="1" applyFont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10" xfId="93" applyFont="1" applyFill="1" applyBorder="1" applyAlignment="1">
      <alignment horizontal="center" vertical="center"/>
    </xf>
    <xf numFmtId="0" fontId="4" fillId="23" borderId="16" xfId="0" applyFont="1" applyFill="1" applyBorder="1" applyAlignment="1">
      <alignment horizontal="left" vertical="center" wrapText="1"/>
    </xf>
    <xf numFmtId="167" fontId="13" fillId="0" borderId="0" xfId="91" applyNumberFormat="1" applyFont="1"/>
    <xf numFmtId="167" fontId="4" fillId="20" borderId="0" xfId="92" applyNumberFormat="1" applyFont="1" applyFill="1" applyBorder="1"/>
    <xf numFmtId="167" fontId="0" fillId="0" borderId="0" xfId="0" applyNumberFormat="1" applyFont="1" applyBorder="1"/>
    <xf numFmtId="167" fontId="0" fillId="0" borderId="0" xfId="0" applyNumberFormat="1" applyFont="1" applyFill="1" applyBorder="1"/>
    <xf numFmtId="0" fontId="35" fillId="0" borderId="10" xfId="0" applyFont="1" applyBorder="1" applyAlignment="1">
      <alignment horizontal="justify" vertical="center" wrapText="1"/>
    </xf>
    <xf numFmtId="172" fontId="53" fillId="0" borderId="0" xfId="91" applyNumberFormat="1"/>
    <xf numFmtId="172" fontId="10" fillId="0" borderId="0" xfId="91" applyNumberFormat="1" applyFont="1"/>
    <xf numFmtId="167" fontId="53" fillId="0" borderId="0" xfId="0" applyNumberFormat="1" applyFont="1" applyAlignment="1">
      <alignment horizontal="right"/>
    </xf>
    <xf numFmtId="172" fontId="85" fillId="0" borderId="0" xfId="91" applyNumberFormat="1" applyFont="1"/>
    <xf numFmtId="167" fontId="3" fillId="23" borderId="10" xfId="0" applyNumberFormat="1" applyFont="1" applyFill="1" applyBorder="1" applyAlignment="1">
      <alignment horizontal="center"/>
    </xf>
    <xf numFmtId="167" fontId="0" fillId="20" borderId="10" xfId="0" applyNumberFormat="1" applyFont="1" applyFill="1" applyBorder="1"/>
    <xf numFmtId="167" fontId="0" fillId="50" borderId="10" xfId="0" applyNumberFormat="1" applyFont="1" applyFill="1" applyBorder="1"/>
    <xf numFmtId="167" fontId="0" fillId="0" borderId="10" xfId="0" applyNumberFormat="1" applyFont="1" applyFill="1" applyBorder="1"/>
    <xf numFmtId="167" fontId="0" fillId="0" borderId="10" xfId="0" applyNumberFormat="1" applyFont="1" applyBorder="1" applyAlignment="1">
      <alignment wrapText="1"/>
    </xf>
    <xf numFmtId="167" fontId="0" fillId="52" borderId="10" xfId="0" applyNumberFormat="1" applyFont="1" applyFill="1" applyBorder="1"/>
    <xf numFmtId="167" fontId="0" fillId="51" borderId="10" xfId="0" applyNumberFormat="1" applyFont="1" applyFill="1" applyBorder="1"/>
    <xf numFmtId="167" fontId="28" fillId="0" borderId="0" xfId="89" applyNumberFormat="1" applyFont="1" applyAlignment="1">
      <alignment horizontal="center" vertical="center" wrapText="1"/>
    </xf>
    <xf numFmtId="0" fontId="3" fillId="0" borderId="13" xfId="90" applyFont="1" applyBorder="1" applyAlignment="1">
      <alignment horizontal="left" vertical="center" wrapText="1"/>
    </xf>
    <xf numFmtId="167" fontId="30" fillId="0" borderId="10" xfId="90" applyNumberFormat="1" applyFont="1" applyBorder="1" applyAlignment="1">
      <alignment horizontal="center" vertical="center" wrapText="1"/>
    </xf>
    <xf numFmtId="167" fontId="4" fillId="0" borderId="10" xfId="90" applyNumberFormat="1" applyFont="1" applyBorder="1" applyAlignment="1">
      <alignment horizontal="center" vertical="center" wrapText="1"/>
    </xf>
    <xf numFmtId="167" fontId="4" fillId="0" borderId="14" xfId="90" applyNumberFormat="1" applyFont="1" applyBorder="1" applyAlignment="1">
      <alignment horizontal="center" vertical="center" wrapText="1"/>
    </xf>
    <xf numFmtId="167" fontId="30" fillId="0" borderId="14" xfId="90" applyNumberFormat="1" applyFont="1" applyFill="1" applyBorder="1" applyAlignment="1">
      <alignment horizontal="center" vertical="center" wrapText="1"/>
    </xf>
    <xf numFmtId="167" fontId="4" fillId="0" borderId="14" xfId="90" applyNumberFormat="1" applyFont="1" applyFill="1" applyBorder="1" applyAlignment="1">
      <alignment horizontal="center" vertical="center" wrapText="1"/>
    </xf>
    <xf numFmtId="167" fontId="30" fillId="0" borderId="13" xfId="89" applyNumberFormat="1" applyFont="1" applyBorder="1" applyAlignment="1">
      <alignment horizontal="center" vertical="center" wrapText="1"/>
    </xf>
    <xf numFmtId="167" fontId="4" fillId="0" borderId="10" xfId="90" applyNumberFormat="1" applyFont="1" applyBorder="1" applyAlignment="1">
      <alignment horizontal="center"/>
    </xf>
    <xf numFmtId="169" fontId="23" fillId="0" borderId="0" xfId="0" applyNumberFormat="1" applyFont="1" applyFill="1"/>
    <xf numFmtId="167" fontId="3" fillId="53" borderId="10" xfId="0" applyNumberFormat="1" applyFont="1" applyFill="1" applyBorder="1" applyAlignment="1">
      <alignment horizontal="center" vertical="center"/>
    </xf>
    <xf numFmtId="167" fontId="0" fillId="50" borderId="10" xfId="0" applyNumberFormat="1" applyFont="1" applyFill="1" applyBorder="1" applyAlignment="1">
      <alignment horizontal="right" vertical="center" wrapText="1"/>
    </xf>
    <xf numFmtId="167" fontId="0" fillId="0" borderId="0" xfId="0" applyNumberFormat="1" applyFont="1"/>
    <xf numFmtId="4" fontId="0" fillId="0" borderId="0" xfId="0" applyNumberFormat="1" applyFont="1"/>
    <xf numFmtId="167" fontId="3" fillId="0" borderId="10" xfId="89" applyNumberFormat="1" applyFont="1" applyBorder="1" applyAlignment="1">
      <alignment horizontal="center"/>
    </xf>
    <xf numFmtId="0" fontId="11" fillId="20" borderId="10" xfId="92" applyNumberFormat="1" applyFont="1" applyFill="1" applyBorder="1" applyAlignment="1">
      <alignment horizontal="left" wrapText="1"/>
    </xf>
    <xf numFmtId="2" fontId="53" fillId="20" borderId="10" xfId="92" applyNumberFormat="1" applyFont="1" applyFill="1" applyBorder="1" applyAlignment="1">
      <alignment horizontal="center" wrapText="1"/>
    </xf>
    <xf numFmtId="49" fontId="11" fillId="0" borderId="10" xfId="85" applyNumberFormat="1" applyFont="1" applyFill="1" applyBorder="1" applyAlignment="1">
      <alignment vertical="top" wrapText="1"/>
    </xf>
    <xf numFmtId="167" fontId="57" fillId="20" borderId="0" xfId="92" applyNumberFormat="1" applyFont="1" applyFill="1" applyBorder="1"/>
    <xf numFmtId="49" fontId="0" fillId="0" borderId="10" xfId="0" applyNumberFormat="1" applyFont="1" applyBorder="1" applyAlignment="1">
      <alignment horizontal="center" vertical="center" wrapText="1"/>
    </xf>
    <xf numFmtId="0" fontId="5" fillId="0" borderId="0" xfId="92" applyFill="1"/>
    <xf numFmtId="172" fontId="10" fillId="0" borderId="0" xfId="91" applyNumberFormat="1" applyFont="1" applyFill="1"/>
    <xf numFmtId="167" fontId="0" fillId="0" borderId="10" xfId="0" applyNumberFormat="1" applyFont="1" applyFill="1" applyBorder="1" applyAlignment="1">
      <alignment wrapText="1"/>
    </xf>
    <xf numFmtId="167" fontId="23" fillId="0" borderId="0" xfId="0" applyNumberFormat="1" applyFont="1" applyFill="1"/>
    <xf numFmtId="49" fontId="0" fillId="53" borderId="10" xfId="0" applyNumberFormat="1" applyFill="1" applyBorder="1" applyAlignment="1">
      <alignment horizontal="center" vertical="center" wrapText="1"/>
    </xf>
    <xf numFmtId="0" fontId="29" fillId="53" borderId="10" xfId="0" applyFont="1" applyFill="1" applyBorder="1" applyAlignment="1">
      <alignment horizontal="center" vertical="center" wrapText="1"/>
    </xf>
    <xf numFmtId="167" fontId="5" fillId="0" borderId="10" xfId="0" applyNumberFormat="1" applyFont="1" applyBorder="1" applyAlignment="1"/>
    <xf numFmtId="167" fontId="5" fillId="50" borderId="10" xfId="0" applyNumberFormat="1" applyFont="1" applyFill="1" applyBorder="1" applyAlignment="1">
      <alignment wrapText="1"/>
    </xf>
    <xf numFmtId="167" fontId="86" fillId="20" borderId="10" xfId="92" applyNumberFormat="1" applyFont="1" applyFill="1" applyBorder="1"/>
    <xf numFmtId="167" fontId="5" fillId="0" borderId="10" xfId="0" applyNumberFormat="1" applyFont="1" applyFill="1" applyBorder="1" applyAlignment="1"/>
    <xf numFmtId="167" fontId="5" fillId="0" borderId="10" xfId="0" applyNumberFormat="1" applyFont="1" applyFill="1" applyBorder="1" applyAlignment="1">
      <alignment wrapText="1"/>
    </xf>
    <xf numFmtId="167" fontId="11" fillId="20" borderId="0" xfId="92" applyNumberFormat="1" applyFont="1" applyFill="1" applyBorder="1"/>
    <xf numFmtId="167" fontId="0" fillId="0" borderId="0" xfId="92" applyNumberFormat="1" applyFont="1" applyBorder="1" applyAlignment="1">
      <alignment horizontal="center" vertical="center" wrapText="1"/>
    </xf>
    <xf numFmtId="0" fontId="0" fillId="0" borderId="0" xfId="91" applyFont="1"/>
    <xf numFmtId="167" fontId="21" fillId="0" borderId="14" xfId="0" applyNumberFormat="1" applyFont="1" applyBorder="1" applyAlignment="1">
      <alignment horizontal="right" vertical="top"/>
    </xf>
    <xf numFmtId="167" fontId="86" fillId="0" borderId="10" xfId="92" applyNumberFormat="1" applyFont="1" applyFill="1" applyBorder="1"/>
    <xf numFmtId="167" fontId="87" fillId="0" borderId="10" xfId="92" applyNumberFormat="1" applyFont="1" applyFill="1" applyBorder="1"/>
    <xf numFmtId="167" fontId="87" fillId="20" borderId="10" xfId="92" applyNumberFormat="1" applyFont="1" applyFill="1" applyBorder="1"/>
    <xf numFmtId="167" fontId="87" fillId="20" borderId="10" xfId="92" applyNumberFormat="1" applyFont="1" applyFill="1" applyBorder="1" applyAlignment="1">
      <alignment wrapText="1"/>
    </xf>
    <xf numFmtId="167" fontId="86" fillId="20" borderId="10" xfId="92" applyNumberFormat="1" applyFont="1" applyFill="1" applyBorder="1" applyAlignment="1">
      <alignment wrapText="1"/>
    </xf>
    <xf numFmtId="0" fontId="0" fillId="0" borderId="0" xfId="0" applyFont="1" applyFill="1" applyBorder="1"/>
    <xf numFmtId="0" fontId="35" fillId="50" borderId="10" xfId="0" applyFont="1" applyFill="1" applyBorder="1" applyAlignment="1">
      <alignment vertical="center" wrapText="1"/>
    </xf>
    <xf numFmtId="0" fontId="4" fillId="5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vertical="center" wrapText="1"/>
    </xf>
    <xf numFmtId="0" fontId="35" fillId="52" borderId="10" xfId="0" applyFont="1" applyFill="1" applyBorder="1" applyAlignment="1">
      <alignment vertical="center" wrapText="1"/>
    </xf>
    <xf numFmtId="0" fontId="35" fillId="0" borderId="10" xfId="0" applyFont="1" applyBorder="1" applyAlignment="1">
      <alignment horizontal="left" wrapText="1"/>
    </xf>
    <xf numFmtId="0" fontId="35" fillId="50" borderId="10" xfId="0" applyFont="1" applyFill="1" applyBorder="1" applyAlignment="1">
      <alignment horizontal="left" wrapText="1"/>
    </xf>
    <xf numFmtId="0" fontId="4" fillId="5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167" fontId="88" fillId="0" borderId="0" xfId="89" applyNumberFormat="1" applyFont="1"/>
    <xf numFmtId="0" fontId="88" fillId="0" borderId="0" xfId="89" applyFont="1"/>
    <xf numFmtId="172" fontId="88" fillId="0" borderId="0" xfId="89" applyNumberFormat="1" applyFont="1"/>
    <xf numFmtId="0" fontId="87" fillId="0" borderId="0" xfId="91" applyFont="1"/>
    <xf numFmtId="172" fontId="89" fillId="0" borderId="0" xfId="91" applyNumberFormat="1" applyFont="1"/>
    <xf numFmtId="167" fontId="5" fillId="50" borderId="10" xfId="0" applyNumberFormat="1" applyFont="1" applyFill="1" applyBorder="1" applyAlignment="1"/>
    <xf numFmtId="2" fontId="11" fillId="0" borderId="10" xfId="92" applyNumberFormat="1" applyFont="1" applyFill="1" applyBorder="1" applyAlignment="1">
      <alignment horizontal="left" wrapText="1"/>
    </xf>
    <xf numFmtId="2" fontId="11" fillId="20" borderId="10" xfId="92" applyNumberFormat="1" applyFont="1" applyFill="1" applyBorder="1" applyAlignment="1">
      <alignment horizontal="left" wrapText="1"/>
    </xf>
    <xf numFmtId="167" fontId="53" fillId="20" borderId="10" xfId="92" applyNumberFormat="1" applyFont="1" applyFill="1" applyBorder="1" applyAlignment="1">
      <alignment wrapText="1"/>
    </xf>
    <xf numFmtId="172" fontId="90" fillId="0" borderId="0" xfId="91" applyNumberFormat="1" applyFont="1"/>
    <xf numFmtId="167" fontId="90" fillId="0" borderId="0" xfId="91" applyNumberFormat="1" applyFont="1"/>
    <xf numFmtId="0" fontId="87" fillId="0" borderId="0" xfId="0" applyFont="1"/>
    <xf numFmtId="167" fontId="11" fillId="53" borderId="10" xfId="92" applyNumberFormat="1" applyFont="1" applyFill="1" applyBorder="1"/>
    <xf numFmtId="2" fontId="5" fillId="0" borderId="0" xfId="92" applyNumberFormat="1" applyFont="1" applyBorder="1" applyAlignment="1">
      <alignment wrapText="1"/>
    </xf>
    <xf numFmtId="49" fontId="61" fillId="0" borderId="25" xfId="42" applyNumberFormat="1" applyFont="1" applyBorder="1" applyProtection="1">
      <alignment horizontal="left" vertical="top" wrapText="1"/>
    </xf>
    <xf numFmtId="167" fontId="5" fillId="0" borderId="0" xfId="92" applyNumberFormat="1" applyFont="1" applyBorder="1"/>
    <xf numFmtId="167" fontId="20" fillId="0" borderId="0" xfId="92" applyNumberFormat="1" applyFont="1" applyBorder="1"/>
    <xf numFmtId="167" fontId="5" fillId="21" borderId="0" xfId="92" applyNumberFormat="1" applyFont="1" applyFill="1" applyBorder="1"/>
    <xf numFmtId="0" fontId="53" fillId="0" borderId="0" xfId="91" applyFill="1" applyBorder="1"/>
    <xf numFmtId="0" fontId="53" fillId="0" borderId="0" xfId="91" applyBorder="1"/>
    <xf numFmtId="0" fontId="53" fillId="0" borderId="0" xfId="91" applyFont="1" applyBorder="1"/>
    <xf numFmtId="0" fontId="5" fillId="0" borderId="0" xfId="92" applyBorder="1"/>
    <xf numFmtId="0" fontId="16" fillId="0" borderId="0" xfId="91" applyFont="1" applyBorder="1"/>
    <xf numFmtId="167" fontId="5" fillId="0" borderId="0" xfId="92" applyNumberFormat="1" applyBorder="1"/>
    <xf numFmtId="0" fontId="53" fillId="20" borderId="0" xfId="91" applyFill="1" applyBorder="1"/>
    <xf numFmtId="172" fontId="10" fillId="0" borderId="0" xfId="91" applyNumberFormat="1" applyFont="1" applyBorder="1"/>
    <xf numFmtId="2" fontId="53" fillId="53" borderId="10" xfId="92" applyNumberFormat="1" applyFont="1" applyFill="1" applyBorder="1" applyAlignment="1">
      <alignment horizontal="center" wrapText="1"/>
    </xf>
    <xf numFmtId="0" fontId="53" fillId="53" borderId="0" xfId="91" applyFill="1"/>
    <xf numFmtId="167" fontId="57" fillId="53" borderId="10" xfId="92" applyNumberFormat="1" applyFont="1" applyFill="1" applyBorder="1"/>
    <xf numFmtId="172" fontId="10" fillId="53" borderId="0" xfId="91" applyNumberFormat="1" applyFont="1" applyFill="1"/>
    <xf numFmtId="167" fontId="10" fillId="53" borderId="0" xfId="91" applyNumberFormat="1" applyFont="1" applyFill="1"/>
    <xf numFmtId="167" fontId="4" fillId="53" borderId="0" xfId="92" applyNumberFormat="1" applyFont="1" applyFill="1" applyBorder="1"/>
    <xf numFmtId="167" fontId="53" fillId="53" borderId="10" xfId="92" applyNumberFormat="1" applyFont="1" applyFill="1" applyBorder="1"/>
    <xf numFmtId="0" fontId="53" fillId="53" borderId="0" xfId="91" applyFill="1" applyBorder="1"/>
    <xf numFmtId="0" fontId="13" fillId="53" borderId="0" xfId="91" applyFont="1" applyFill="1"/>
    <xf numFmtId="167" fontId="12" fillId="53" borderId="10" xfId="92" applyNumberFormat="1" applyFont="1" applyFill="1" applyBorder="1"/>
    <xf numFmtId="0" fontId="13" fillId="53" borderId="0" xfId="91" applyFont="1" applyFill="1" applyBorder="1"/>
    <xf numFmtId="0" fontId="87" fillId="53" borderId="0" xfId="91" applyFont="1" applyFill="1"/>
    <xf numFmtId="167" fontId="86" fillId="53" borderId="10" xfId="92" applyNumberFormat="1" applyFont="1" applyFill="1" applyBorder="1"/>
    <xf numFmtId="172" fontId="89" fillId="53" borderId="0" xfId="91" applyNumberFormat="1" applyFont="1" applyFill="1"/>
    <xf numFmtId="172" fontId="10" fillId="53" borderId="0" xfId="91" applyNumberFormat="1" applyFont="1" applyFill="1" applyBorder="1"/>
    <xf numFmtId="0" fontId="10" fillId="53" borderId="0" xfId="91" applyFont="1" applyFill="1"/>
    <xf numFmtId="167" fontId="9" fillId="53" borderId="10" xfId="92" applyNumberFormat="1" applyFont="1" applyFill="1" applyBorder="1"/>
    <xf numFmtId="0" fontId="16" fillId="53" borderId="0" xfId="91" applyFont="1" applyFill="1"/>
    <xf numFmtId="167" fontId="57" fillId="53" borderId="10" xfId="92" applyNumberFormat="1" applyFont="1" applyFill="1" applyBorder="1" applyAlignment="1"/>
    <xf numFmtId="167" fontId="16" fillId="53" borderId="0" xfId="91" applyNumberFormat="1" applyFont="1" applyFill="1"/>
    <xf numFmtId="167" fontId="53" fillId="53" borderId="0" xfId="91" applyNumberFormat="1" applyFill="1"/>
    <xf numFmtId="0" fontId="57" fillId="53" borderId="0" xfId="91" applyFont="1" applyFill="1"/>
    <xf numFmtId="167" fontId="16" fillId="53" borderId="10" xfId="92" applyNumberFormat="1" applyFont="1" applyFill="1" applyBorder="1"/>
    <xf numFmtId="167" fontId="57" fillId="53" borderId="0" xfId="92" applyNumberFormat="1" applyFont="1" applyFill="1" applyBorder="1"/>
    <xf numFmtId="167" fontId="11" fillId="53" borderId="0" xfId="92" applyNumberFormat="1" applyFont="1" applyFill="1" applyBorder="1"/>
    <xf numFmtId="49" fontId="5" fillId="20" borderId="10" xfId="92" applyNumberFormat="1" applyFont="1" applyFill="1" applyBorder="1" applyAlignment="1">
      <alignment horizontal="center"/>
    </xf>
    <xf numFmtId="0" fontId="53" fillId="0" borderId="0" xfId="91" applyFont="1" applyAlignment="1">
      <alignment horizontal="center"/>
    </xf>
    <xf numFmtId="0" fontId="5" fillId="0" borderId="0" xfId="92" applyFont="1" applyAlignment="1">
      <alignment horizontal="center"/>
    </xf>
    <xf numFmtId="49" fontId="19" fillId="0" borderId="10" xfId="92" applyNumberFormat="1" applyFont="1" applyFill="1" applyBorder="1" applyAlignment="1">
      <alignment horizontal="center"/>
    </xf>
    <xf numFmtId="49" fontId="5" fillId="0" borderId="0" xfId="92" applyNumberFormat="1" applyFont="1" applyAlignment="1">
      <alignment horizontal="center"/>
    </xf>
    <xf numFmtId="49" fontId="5" fillId="0" borderId="0" xfId="92" applyNumberFormat="1" applyFont="1" applyBorder="1" applyAlignment="1">
      <alignment horizontal="center"/>
    </xf>
    <xf numFmtId="0" fontId="5" fillId="0" borderId="0" xfId="92" applyNumberFormat="1" applyFont="1" applyBorder="1" applyAlignment="1">
      <alignment horizontal="center"/>
    </xf>
    <xf numFmtId="0" fontId="5" fillId="0" borderId="0" xfId="92" applyNumberFormat="1" applyFont="1" applyAlignment="1">
      <alignment horizontal="center"/>
    </xf>
    <xf numFmtId="2" fontId="5" fillId="0" borderId="0" xfId="92" applyNumberFormat="1" applyFont="1" applyAlignment="1">
      <alignment horizontal="center"/>
    </xf>
    <xf numFmtId="2" fontId="5" fillId="0" borderId="0" xfId="92" applyNumberFormat="1" applyFont="1" applyBorder="1" applyAlignment="1">
      <alignment horizontal="center"/>
    </xf>
    <xf numFmtId="49" fontId="5" fillId="0" borderId="0" xfId="92" applyNumberFormat="1" applyFont="1" applyAlignment="1">
      <alignment horizontal="center" wrapText="1"/>
    </xf>
    <xf numFmtId="2" fontId="5" fillId="0" borderId="0" xfId="92" applyNumberFormat="1" applyFont="1" applyAlignment="1">
      <alignment horizontal="center" wrapText="1"/>
    </xf>
    <xf numFmtId="0" fontId="5" fillId="0" borderId="0" xfId="92" applyFont="1" applyBorder="1" applyAlignment="1">
      <alignment horizontal="center"/>
    </xf>
    <xf numFmtId="0" fontId="53" fillId="0" borderId="0" xfId="91" applyFont="1" applyAlignment="1">
      <alignment horizontal="left"/>
    </xf>
    <xf numFmtId="0" fontId="5" fillId="0" borderId="0" xfId="92" applyFont="1" applyAlignment="1">
      <alignment horizontal="left"/>
    </xf>
    <xf numFmtId="49" fontId="9" fillId="0" borderId="10" xfId="92" applyNumberFormat="1" applyFont="1" applyFill="1" applyBorder="1" applyAlignment="1">
      <alignment horizontal="left"/>
    </xf>
    <xf numFmtId="49" fontId="11" fillId="0" borderId="10" xfId="92" applyNumberFormat="1" applyFont="1" applyFill="1" applyBorder="1" applyAlignment="1">
      <alignment horizontal="left"/>
    </xf>
    <xf numFmtId="49" fontId="5" fillId="20" borderId="10" xfId="92" applyNumberFormat="1" applyFont="1" applyFill="1" applyBorder="1" applyAlignment="1">
      <alignment horizontal="left" wrapText="1"/>
    </xf>
    <xf numFmtId="49" fontId="5" fillId="0" borderId="10" xfId="92" applyNumberFormat="1" applyFont="1" applyFill="1" applyBorder="1" applyAlignment="1">
      <alignment horizontal="left" wrapText="1"/>
    </xf>
    <xf numFmtId="49" fontId="5" fillId="0" borderId="10" xfId="92" applyNumberFormat="1" applyFont="1" applyFill="1" applyBorder="1" applyAlignment="1">
      <alignment horizontal="left"/>
    </xf>
    <xf numFmtId="49" fontId="5" fillId="20" borderId="10" xfId="92" applyNumberFormat="1" applyFont="1" applyFill="1" applyBorder="1" applyAlignment="1">
      <alignment horizontal="left"/>
    </xf>
    <xf numFmtId="49" fontId="11" fillId="20" borderId="10" xfId="92" applyNumberFormat="1" applyFont="1" applyFill="1" applyBorder="1" applyAlignment="1">
      <alignment horizontal="left"/>
    </xf>
    <xf numFmtId="2" fontId="53" fillId="20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horizontal="left" wrapText="1"/>
    </xf>
    <xf numFmtId="49" fontId="53" fillId="0" borderId="10" xfId="92" applyNumberFormat="1" applyFont="1" applyFill="1" applyBorder="1" applyAlignment="1">
      <alignment horizontal="left"/>
    </xf>
    <xf numFmtId="49" fontId="53" fillId="20" borderId="10" xfId="92" applyNumberFormat="1" applyFont="1" applyFill="1" applyBorder="1" applyAlignment="1">
      <alignment horizontal="left"/>
    </xf>
    <xf numFmtId="49" fontId="15" fillId="0" borderId="10" xfId="92" applyNumberFormat="1" applyFont="1" applyFill="1" applyBorder="1" applyAlignment="1">
      <alignment horizontal="left"/>
    </xf>
    <xf numFmtId="49" fontId="5" fillId="0" borderId="0" xfId="92" applyNumberFormat="1" applyFont="1" applyAlignment="1">
      <alignment horizontal="left"/>
    </xf>
    <xf numFmtId="49" fontId="5" fillId="0" borderId="0" xfId="92" applyNumberFormat="1" applyFont="1" applyBorder="1" applyAlignment="1">
      <alignment horizontal="left"/>
    </xf>
    <xf numFmtId="49" fontId="5" fillId="0" borderId="0" xfId="92" applyNumberFormat="1" applyFont="1" applyAlignment="1">
      <alignment horizontal="left" wrapText="1"/>
    </xf>
    <xf numFmtId="2" fontId="5" fillId="0" borderId="0" xfId="92" applyNumberFormat="1" applyFont="1" applyAlignment="1">
      <alignment horizontal="left" wrapText="1"/>
    </xf>
    <xf numFmtId="0" fontId="5" fillId="0" borderId="0" xfId="92" applyFont="1" applyBorder="1" applyAlignment="1">
      <alignment horizontal="left"/>
    </xf>
    <xf numFmtId="1" fontId="53" fillId="53" borderId="10" xfId="92" applyNumberFormat="1" applyFont="1" applyFill="1" applyBorder="1" applyAlignment="1">
      <alignment horizontal="center" wrapText="1"/>
    </xf>
    <xf numFmtId="1" fontId="53" fillId="20" borderId="10" xfId="92" applyNumberFormat="1" applyFont="1" applyFill="1" applyBorder="1" applyAlignment="1">
      <alignment horizontal="center" wrapText="1"/>
    </xf>
    <xf numFmtId="172" fontId="13" fillId="0" borderId="0" xfId="91" applyNumberFormat="1" applyFont="1"/>
    <xf numFmtId="172" fontId="26" fillId="0" borderId="0" xfId="89" applyNumberFormat="1"/>
    <xf numFmtId="0" fontId="0" fillId="55" borderId="0" xfId="0" applyFont="1" applyFill="1"/>
    <xf numFmtId="0" fontId="33" fillId="0" borderId="0" xfId="0" applyFont="1" applyAlignment="1">
      <alignment horizontal="right"/>
    </xf>
    <xf numFmtId="0" fontId="53" fillId="20" borderId="10" xfId="92" applyNumberFormat="1" applyFont="1" applyFill="1" applyBorder="1" applyAlignment="1">
      <alignment horizontal="left" wrapText="1"/>
    </xf>
    <xf numFmtId="0" fontId="53" fillId="0" borderId="0" xfId="91" applyNumberFormat="1" applyFont="1" applyAlignment="1">
      <alignment horizontal="left"/>
    </xf>
    <xf numFmtId="0" fontId="6" fillId="0" borderId="0" xfId="91" applyNumberFormat="1" applyFont="1" applyAlignment="1">
      <alignment horizontal="left"/>
    </xf>
    <xf numFmtId="0" fontId="5" fillId="0" borderId="0" xfId="92" applyNumberFormat="1" applyFont="1" applyAlignment="1">
      <alignment horizontal="left"/>
    </xf>
    <xf numFmtId="0" fontId="9" fillId="0" borderId="10" xfId="92" applyNumberFormat="1" applyFont="1" applyFill="1" applyBorder="1" applyAlignment="1">
      <alignment horizontal="left"/>
    </xf>
    <xf numFmtId="0" fontId="11" fillId="0" borderId="10" xfId="92" applyNumberFormat="1" applyFont="1" applyFill="1" applyBorder="1" applyAlignment="1">
      <alignment horizontal="left"/>
    </xf>
    <xf numFmtId="0" fontId="5" fillId="20" borderId="10" xfId="92" applyNumberFormat="1" applyFont="1" applyFill="1" applyBorder="1" applyAlignment="1">
      <alignment horizontal="left" wrapText="1"/>
    </xf>
    <xf numFmtId="0" fontId="5" fillId="0" borderId="10" xfId="92" applyNumberFormat="1" applyFont="1" applyFill="1" applyBorder="1" applyAlignment="1">
      <alignment horizontal="left" wrapText="1"/>
    </xf>
    <xf numFmtId="0" fontId="5" fillId="0" borderId="10" xfId="92" applyNumberFormat="1" applyFont="1" applyFill="1" applyBorder="1" applyAlignment="1">
      <alignment horizontal="left"/>
    </xf>
    <xf numFmtId="0" fontId="5" fillId="20" borderId="10" xfId="92" applyNumberFormat="1" applyFont="1" applyFill="1" applyBorder="1" applyAlignment="1">
      <alignment horizontal="left"/>
    </xf>
    <xf numFmtId="0" fontId="12" fillId="0" borderId="10" xfId="92" applyNumberFormat="1" applyFont="1" applyFill="1" applyBorder="1" applyAlignment="1">
      <alignment horizontal="left"/>
    </xf>
    <xf numFmtId="0" fontId="11" fillId="20" borderId="10" xfId="92" applyNumberFormat="1" applyFont="1" applyFill="1" applyBorder="1" applyAlignment="1">
      <alignment horizontal="left"/>
    </xf>
    <xf numFmtId="0" fontId="53" fillId="0" borderId="10" xfId="92" applyNumberFormat="1" applyFont="1" applyFill="1" applyBorder="1" applyAlignment="1">
      <alignment horizontal="left"/>
    </xf>
    <xf numFmtId="0" fontId="53" fillId="20" borderId="10" xfId="92" applyNumberFormat="1" applyFont="1" applyFill="1" applyBorder="1" applyAlignment="1">
      <alignment horizontal="left"/>
    </xf>
    <xf numFmtId="0" fontId="15" fillId="0" borderId="10" xfId="92" applyNumberFormat="1" applyFont="1" applyFill="1" applyBorder="1" applyAlignment="1">
      <alignment horizontal="left"/>
    </xf>
    <xf numFmtId="0" fontId="5" fillId="0" borderId="0" xfId="92" applyNumberFormat="1" applyFont="1" applyBorder="1" applyAlignment="1">
      <alignment horizontal="left"/>
    </xf>
    <xf numFmtId="0" fontId="5" fillId="0" borderId="0" xfId="92" applyNumberFormat="1" applyFont="1" applyAlignment="1">
      <alignment horizontal="left" wrapText="1"/>
    </xf>
    <xf numFmtId="0" fontId="0" fillId="20" borderId="10" xfId="92" applyNumberFormat="1" applyFont="1" applyFill="1" applyBorder="1" applyAlignment="1">
      <alignment horizontal="left" wrapText="1"/>
    </xf>
    <xf numFmtId="0" fontId="5" fillId="53" borderId="10" xfId="92" applyNumberFormat="1" applyFont="1" applyFill="1" applyBorder="1" applyAlignment="1">
      <alignment horizontal="left"/>
    </xf>
    <xf numFmtId="2" fontId="53" fillId="0" borderId="10" xfId="92" applyNumberFormat="1" applyFont="1" applyFill="1" applyBorder="1" applyAlignment="1">
      <alignment horizontal="center" wrapText="1"/>
    </xf>
    <xf numFmtId="2" fontId="53" fillId="0" borderId="10" xfId="92" applyNumberFormat="1" applyFont="1" applyFill="1" applyBorder="1" applyAlignment="1">
      <alignment horizontal="left" wrapText="1"/>
    </xf>
    <xf numFmtId="0" fontId="53" fillId="0" borderId="10" xfId="92" applyNumberFormat="1" applyFont="1" applyFill="1" applyBorder="1" applyAlignment="1">
      <alignment horizontal="left" wrapText="1"/>
    </xf>
    <xf numFmtId="167" fontId="53" fillId="0" borderId="10" xfId="92" applyNumberFormat="1" applyFont="1" applyFill="1" applyBorder="1" applyAlignment="1">
      <alignment wrapText="1"/>
    </xf>
    <xf numFmtId="1" fontId="53" fillId="0" borderId="10" xfId="92" applyNumberFormat="1" applyFont="1" applyFill="1" applyBorder="1" applyAlignment="1">
      <alignment horizontal="center" wrapText="1"/>
    </xf>
    <xf numFmtId="0" fontId="31" fillId="0" borderId="13" xfId="92" applyFont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top" wrapText="1"/>
    </xf>
    <xf numFmtId="3" fontId="31" fillId="0" borderId="13" xfId="92" applyNumberFormat="1" applyFont="1" applyBorder="1" applyAlignment="1">
      <alignment horizontal="center" vertical="center" wrapText="1"/>
    </xf>
    <xf numFmtId="3" fontId="29" fillId="0" borderId="13" xfId="92" applyNumberFormat="1" applyFont="1" applyBorder="1" applyAlignment="1">
      <alignment horizontal="center" vertical="center" wrapText="1"/>
    </xf>
    <xf numFmtId="0" fontId="31" fillId="0" borderId="10" xfId="92" applyFont="1" applyBorder="1"/>
    <xf numFmtId="167" fontId="31" fillId="0" borderId="10" xfId="92" applyNumberFormat="1" applyFont="1" applyBorder="1"/>
    <xf numFmtId="167" fontId="31" fillId="0" borderId="10" xfId="92" applyNumberFormat="1" applyFont="1" applyBorder="1" applyAlignment="1">
      <alignment horizontal="right"/>
    </xf>
    <xf numFmtId="0" fontId="29" fillId="0" borderId="13" xfId="92" applyFont="1" applyBorder="1" applyAlignment="1">
      <alignment horizontal="center" vertical="center" wrapText="1"/>
    </xf>
    <xf numFmtId="167" fontId="29" fillId="0" borderId="13" xfId="92" applyNumberFormat="1" applyFont="1" applyBorder="1" applyAlignment="1">
      <alignment horizontal="right" vertical="center" wrapText="1"/>
    </xf>
    <xf numFmtId="0" fontId="29" fillId="0" borderId="13" xfId="0" applyFont="1" applyFill="1" applyBorder="1" applyAlignment="1">
      <alignment horizontal="center" vertical="top" wrapText="1"/>
    </xf>
    <xf numFmtId="0" fontId="29" fillId="0" borderId="13" xfId="0" applyFont="1" applyFill="1" applyBorder="1" applyAlignment="1">
      <alignment horizontal="center" vertical="center" wrapText="1"/>
    </xf>
    <xf numFmtId="167" fontId="29" fillId="0" borderId="13" xfId="92" applyNumberFormat="1" applyFont="1" applyBorder="1" applyAlignment="1">
      <alignment horizontal="center" vertical="center" wrapText="1"/>
    </xf>
    <xf numFmtId="167" fontId="29" fillId="0" borderId="10" xfId="92" applyNumberFormat="1" applyFont="1" applyBorder="1" applyAlignment="1">
      <alignment horizontal="right" vertical="center" wrapText="1"/>
    </xf>
    <xf numFmtId="2" fontId="29" fillId="0" borderId="13" xfId="92" applyNumberFormat="1" applyFont="1" applyBorder="1" applyAlignment="1">
      <alignment horizontal="left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0" fontId="29" fillId="0" borderId="13" xfId="92" applyNumberFormat="1" applyFont="1" applyBorder="1" applyAlignment="1">
      <alignment horizontal="left" vertical="center" wrapText="1"/>
    </xf>
    <xf numFmtId="0" fontId="31" fillId="0" borderId="10" xfId="92" applyNumberFormat="1" applyFont="1" applyBorder="1" applyAlignment="1">
      <alignment wrapText="1"/>
    </xf>
    <xf numFmtId="2" fontId="53" fillId="53" borderId="10" xfId="92" applyNumberFormat="1" applyFont="1" applyFill="1" applyBorder="1" applyAlignment="1">
      <alignment wrapText="1"/>
    </xf>
    <xf numFmtId="167" fontId="0" fillId="0" borderId="0" xfId="0" applyNumberFormat="1" applyFont="1" applyFill="1"/>
    <xf numFmtId="0" fontId="0" fillId="54" borderId="0" xfId="0" applyFill="1"/>
    <xf numFmtId="4" fontId="0" fillId="0" borderId="0" xfId="92" applyNumberFormat="1" applyFont="1" applyBorder="1" applyAlignment="1">
      <alignment horizontal="center" vertical="center" wrapText="1"/>
    </xf>
    <xf numFmtId="172" fontId="0" fillId="0" borderId="0" xfId="0" applyNumberFormat="1" applyFont="1"/>
    <xf numFmtId="167" fontId="0" fillId="51" borderId="0" xfId="0" applyNumberFormat="1" applyFont="1" applyFill="1" applyBorder="1"/>
    <xf numFmtId="167" fontId="0" fillId="20" borderId="0" xfId="0" applyNumberFormat="1" applyFont="1" applyFill="1" applyBorder="1"/>
    <xf numFmtId="167" fontId="0" fillId="50" borderId="0" xfId="0" applyNumberFormat="1" applyFont="1" applyFill="1" applyBorder="1"/>
    <xf numFmtId="173" fontId="0" fillId="0" borderId="0" xfId="0" applyNumberFormat="1" applyFont="1"/>
    <xf numFmtId="167" fontId="0" fillId="50" borderId="0" xfId="0" applyNumberFormat="1" applyFont="1" applyFill="1" applyBorder="1" applyAlignment="1">
      <alignment horizontal="right" vertical="center" wrapText="1"/>
    </xf>
    <xf numFmtId="0" fontId="29" fillId="0" borderId="0" xfId="0" applyFont="1"/>
    <xf numFmtId="172" fontId="0" fillId="54" borderId="10" xfId="0" applyNumberFormat="1" applyFont="1" applyFill="1" applyBorder="1"/>
    <xf numFmtId="0" fontId="0" fillId="0" borderId="0" xfId="0" applyFont="1" applyFill="1"/>
    <xf numFmtId="167" fontId="0" fillId="0" borderId="0" xfId="0" applyNumberFormat="1" applyFont="1" applyBorder="1" applyAlignment="1">
      <alignment wrapText="1"/>
    </xf>
    <xf numFmtId="167" fontId="0" fillId="52" borderId="0" xfId="0" applyNumberFormat="1" applyFont="1" applyFill="1" applyBorder="1"/>
    <xf numFmtId="169" fontId="0" fillId="0" borderId="0" xfId="0" applyNumberFormat="1" applyFont="1" applyBorder="1"/>
    <xf numFmtId="167" fontId="11" fillId="20" borderId="0" xfId="92" applyNumberFormat="1" applyFont="1" applyFill="1" applyBorder="1" applyAlignment="1">
      <alignment wrapText="1"/>
    </xf>
    <xf numFmtId="0" fontId="91" fillId="0" borderId="13" xfId="92" applyNumberFormat="1" applyFont="1" applyBorder="1" applyAlignment="1">
      <alignment horizontal="left" vertical="center" wrapText="1"/>
    </xf>
    <xf numFmtId="0" fontId="91" fillId="0" borderId="13" xfId="0" applyFont="1" applyFill="1" applyBorder="1" applyAlignment="1">
      <alignment horizontal="center" vertical="center" wrapText="1"/>
    </xf>
    <xf numFmtId="167" fontId="91" fillId="0" borderId="10" xfId="92" applyNumberFormat="1" applyFont="1" applyBorder="1" applyAlignment="1">
      <alignment horizontal="right" vertical="center" wrapText="1"/>
    </xf>
    <xf numFmtId="3" fontId="91" fillId="0" borderId="13" xfId="92" applyNumberFormat="1" applyFont="1" applyBorder="1" applyAlignment="1">
      <alignment horizontal="center" vertical="center" wrapText="1"/>
    </xf>
    <xf numFmtId="0" fontId="91" fillId="0" borderId="13" xfId="0" applyFont="1" applyFill="1" applyBorder="1" applyAlignment="1">
      <alignment horizontal="center" vertical="top" wrapText="1"/>
    </xf>
    <xf numFmtId="0" fontId="29" fillId="0" borderId="10" xfId="92" applyNumberFormat="1" applyFont="1" applyFill="1" applyBorder="1" applyAlignment="1">
      <alignment vertical="center" wrapText="1"/>
    </xf>
    <xf numFmtId="0" fontId="29" fillId="0" borderId="10" xfId="92" applyNumberFormat="1" applyFont="1" applyFill="1" applyBorder="1" applyAlignment="1">
      <alignment wrapText="1"/>
    </xf>
    <xf numFmtId="0" fontId="29" fillId="23" borderId="10" xfId="92" applyNumberFormat="1" applyFont="1" applyFill="1" applyBorder="1" applyAlignment="1">
      <alignment wrapText="1"/>
    </xf>
    <xf numFmtId="0" fontId="0" fillId="56" borderId="0" xfId="0" applyFill="1"/>
    <xf numFmtId="0" fontId="84" fillId="0" borderId="37" xfId="0" applyFont="1" applyBorder="1" applyAlignment="1">
      <alignment horizontal="right" vertical="top" wrapText="1"/>
    </xf>
    <xf numFmtId="0" fontId="84" fillId="0" borderId="38" xfId="0" applyFont="1" applyBorder="1" applyAlignment="1">
      <alignment horizontal="right" vertical="top" wrapText="1"/>
    </xf>
    <xf numFmtId="0" fontId="92" fillId="0" borderId="39" xfId="0" applyFont="1" applyBorder="1" applyAlignment="1">
      <alignment horizontal="justify" vertical="top" wrapText="1"/>
    </xf>
    <xf numFmtId="0" fontId="92" fillId="0" borderId="40" xfId="0" applyFont="1" applyBorder="1" applyAlignment="1">
      <alignment horizontal="justify" vertical="top" wrapText="1"/>
    </xf>
    <xf numFmtId="172" fontId="5" fillId="0" borderId="0" xfId="92" applyNumberFormat="1" applyFont="1"/>
    <xf numFmtId="49" fontId="93" fillId="0" borderId="10" xfId="0" applyNumberFormat="1" applyFont="1" applyFill="1" applyBorder="1" applyAlignment="1">
      <alignment horizontal="center" vertical="center" wrapText="1"/>
    </xf>
    <xf numFmtId="0" fontId="94" fillId="53" borderId="10" xfId="0" applyFont="1" applyFill="1" applyBorder="1" applyAlignment="1">
      <alignment horizontal="center" vertical="center" wrapText="1"/>
    </xf>
    <xf numFmtId="173" fontId="5" fillId="0" borderId="0" xfId="92" applyNumberFormat="1"/>
    <xf numFmtId="173" fontId="5" fillId="0" borderId="0" xfId="92" applyNumberFormat="1" applyBorder="1"/>
    <xf numFmtId="173" fontId="53" fillId="0" borderId="0" xfId="91" applyNumberFormat="1" applyFill="1"/>
    <xf numFmtId="173" fontId="53" fillId="0" borderId="0" xfId="91" applyNumberFormat="1"/>
    <xf numFmtId="173" fontId="57" fillId="20" borderId="0" xfId="92" applyNumberFormat="1" applyFont="1" applyFill="1" applyBorder="1"/>
    <xf numFmtId="167" fontId="2" fillId="0" borderId="0" xfId="0" applyNumberFormat="1" applyFont="1" applyAlignment="1">
      <alignment horizontal="right"/>
    </xf>
    <xf numFmtId="167" fontId="24" fillId="0" borderId="0" xfId="0" applyNumberFormat="1" applyFont="1" applyFill="1" applyAlignment="1">
      <alignment horizontal="center" vertical="top" wrapText="1"/>
    </xf>
    <xf numFmtId="0" fontId="53" fillId="53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171" fontId="0" fillId="0" borderId="0" xfId="0" applyNumberFormat="1" applyFont="1"/>
    <xf numFmtId="0" fontId="29" fillId="0" borderId="0" xfId="90" applyNumberFormat="1" applyFont="1" applyAlignment="1">
      <alignment wrapText="1"/>
    </xf>
    <xf numFmtId="0" fontId="29" fillId="0" borderId="0" xfId="90" applyFont="1"/>
    <xf numFmtId="0" fontId="29" fillId="0" borderId="0" xfId="0" applyFont="1" applyAlignment="1">
      <alignment horizontal="right"/>
    </xf>
    <xf numFmtId="167" fontId="29" fillId="0" borderId="0" xfId="90" applyNumberFormat="1" applyFont="1"/>
    <xf numFmtId="167" fontId="29" fillId="0" borderId="0" xfId="0" applyNumberFormat="1" applyFont="1" applyAlignment="1">
      <alignment horizontal="right"/>
    </xf>
    <xf numFmtId="0" fontId="62" fillId="0" borderId="0" xfId="90" applyFont="1"/>
    <xf numFmtId="0" fontId="31" fillId="0" borderId="0" xfId="92" applyNumberFormat="1" applyFont="1" applyAlignment="1">
      <alignment wrapText="1"/>
    </xf>
    <xf numFmtId="0" fontId="29" fillId="0" borderId="0" xfId="92" applyFont="1"/>
    <xf numFmtId="167" fontId="29" fillId="0" borderId="0" xfId="92" applyNumberFormat="1" applyFont="1"/>
    <xf numFmtId="0" fontId="29" fillId="0" borderId="0" xfId="92" applyNumberFormat="1" applyFont="1" applyAlignment="1">
      <alignment wrapText="1"/>
    </xf>
    <xf numFmtId="167" fontId="29" fillId="54" borderId="0" xfId="92" applyNumberFormat="1" applyFont="1" applyFill="1"/>
    <xf numFmtId="167" fontId="21" fillId="0" borderId="11" xfId="0" applyNumberFormat="1" applyFont="1" applyFill="1" applyBorder="1" applyAlignment="1">
      <alignment horizontal="right"/>
    </xf>
    <xf numFmtId="4" fontId="0" fillId="55" borderId="0" xfId="0" applyNumberFormat="1" applyFont="1" applyFill="1"/>
    <xf numFmtId="0" fontId="93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95" fillId="0" borderId="10" xfId="0" applyFont="1" applyBorder="1" applyAlignment="1">
      <alignment horizontal="justify" vertical="top" wrapText="1"/>
    </xf>
    <xf numFmtId="0" fontId="0" fillId="0" borderId="18" xfId="91" applyFont="1" applyBorder="1"/>
    <xf numFmtId="4" fontId="53" fillId="0" borderId="19" xfId="91" applyNumberFormat="1" applyBorder="1"/>
    <xf numFmtId="0" fontId="53" fillId="0" borderId="19" xfId="91" applyBorder="1"/>
    <xf numFmtId="175" fontId="53" fillId="0" borderId="20" xfId="91" applyNumberFormat="1" applyBorder="1"/>
    <xf numFmtId="2" fontId="29" fillId="0" borderId="13" xfId="0" applyNumberFormat="1" applyFont="1" applyFill="1" applyBorder="1" applyAlignment="1">
      <alignment horizontal="center" vertical="center" wrapText="1"/>
    </xf>
    <xf numFmtId="0" fontId="53" fillId="53" borderId="10" xfId="92" applyNumberFormat="1" applyFont="1" applyFill="1" applyBorder="1" applyAlignment="1">
      <alignment horizontal="left" vertical="center" wrapText="1"/>
    </xf>
    <xf numFmtId="0" fontId="53" fillId="20" borderId="10" xfId="92" applyNumberFormat="1" applyFont="1" applyFill="1" applyBorder="1" applyAlignment="1">
      <alignment horizontal="left" vertical="center" wrapText="1"/>
    </xf>
    <xf numFmtId="0" fontId="61" fillId="0" borderId="25" xfId="38" quotePrefix="1" applyNumberFormat="1" applyFont="1" applyAlignment="1" applyProtection="1">
      <alignment horizontal="left" vertical="top" wrapText="1" shrinkToFit="1"/>
    </xf>
    <xf numFmtId="0" fontId="26" fillId="0" borderId="0" xfId="89" applyFont="1" applyAlignment="1"/>
    <xf numFmtId="167" fontId="3" fillId="0" borderId="10" xfId="0" applyNumberFormat="1" applyFont="1" applyFill="1" applyBorder="1" applyAlignment="1">
      <alignment horizontal="center" vertical="center"/>
    </xf>
    <xf numFmtId="0" fontId="4" fillId="0" borderId="10" xfId="94" applyFont="1" applyFill="1" applyBorder="1" applyAlignment="1">
      <alignment horizontal="justify" vertical="center" wrapText="1"/>
    </xf>
    <xf numFmtId="167" fontId="2" fillId="53" borderId="10" xfId="0" applyNumberFormat="1" applyFont="1" applyFill="1" applyBorder="1" applyAlignment="1">
      <alignment horizontal="center" vertical="center"/>
    </xf>
    <xf numFmtId="176" fontId="55" fillId="0" borderId="21" xfId="0" applyNumberFormat="1" applyFont="1" applyBorder="1" applyAlignment="1">
      <alignment horizontal="left" wrapText="1"/>
    </xf>
    <xf numFmtId="172" fontId="53" fillId="0" borderId="0" xfId="91" applyNumberFormat="1" applyFont="1"/>
    <xf numFmtId="172" fontId="5" fillId="0" borderId="0" xfId="92" applyNumberFormat="1" applyFont="1" applyBorder="1"/>
    <xf numFmtId="172" fontId="5" fillId="21" borderId="0" xfId="92" applyNumberFormat="1" applyFont="1" applyFill="1" applyBorder="1"/>
    <xf numFmtId="172" fontId="20" fillId="0" borderId="0" xfId="92" applyNumberFormat="1" applyFont="1" applyBorder="1"/>
    <xf numFmtId="172" fontId="20" fillId="0" borderId="0" xfId="92" applyNumberFormat="1" applyFont="1"/>
    <xf numFmtId="172" fontId="5" fillId="0" borderId="0" xfId="92" applyNumberFormat="1" applyFont="1" applyAlignment="1">
      <alignment wrapText="1"/>
    </xf>
    <xf numFmtId="49" fontId="53" fillId="53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49" fontId="0" fillId="20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11" fontId="53" fillId="53" borderId="10" xfId="92" applyNumberFormat="1" applyFont="1" applyFill="1" applyBorder="1" applyAlignment="1">
      <alignment horizontal="left" wrapText="1"/>
    </xf>
    <xf numFmtId="11" fontId="0" fillId="20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49" fontId="53" fillId="20" borderId="10" xfId="92" applyNumberFormat="1" applyFont="1" applyFill="1" applyBorder="1" applyAlignment="1">
      <alignment horizontal="left" wrapText="1"/>
    </xf>
    <xf numFmtId="49" fontId="53" fillId="53" borderId="10" xfId="92" applyNumberFormat="1" applyFont="1" applyFill="1" applyBorder="1" applyAlignment="1">
      <alignment horizontal="left" wrapText="1"/>
    </xf>
    <xf numFmtId="167" fontId="53" fillId="53" borderId="10" xfId="92" applyNumberFormat="1" applyFont="1" applyFill="1" applyBorder="1" applyAlignment="1">
      <alignment wrapText="1"/>
    </xf>
    <xf numFmtId="11" fontId="29" fillId="0" borderId="13" xfId="0" applyNumberFormat="1" applyFont="1" applyFill="1" applyBorder="1" applyAlignment="1">
      <alignment horizontal="center" vertical="center" wrapText="1"/>
    </xf>
    <xf numFmtId="172" fontId="53" fillId="0" borderId="0" xfId="0" applyNumberFormat="1" applyFont="1" applyAlignment="1">
      <alignment horizontal="right"/>
    </xf>
    <xf numFmtId="2" fontId="53" fillId="53" borderId="10" xfId="92" applyNumberFormat="1" applyFont="1" applyFill="1" applyBorder="1" applyAlignment="1">
      <alignment wrapText="1"/>
    </xf>
    <xf numFmtId="167" fontId="0" fillId="0" borderId="0" xfId="0" applyNumberFormat="1" applyFont="1" applyAlignment="1">
      <alignment horizontal="right"/>
    </xf>
    <xf numFmtId="2" fontId="91" fillId="0" borderId="13" xfId="92" applyNumberFormat="1" applyFont="1" applyBorder="1" applyAlignment="1">
      <alignment horizontal="left" vertical="center" wrapText="1"/>
    </xf>
    <xf numFmtId="2" fontId="53" fillId="53" borderId="10" xfId="92" applyNumberFormat="1" applyFont="1" applyFill="1" applyBorder="1" applyAlignment="1">
      <alignment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167" fontId="53" fillId="53" borderId="10" xfId="92" applyNumberFormat="1" applyFont="1" applyFill="1" applyBorder="1" applyAlignment="1"/>
    <xf numFmtId="0" fontId="53" fillId="53" borderId="0" xfId="91" applyFont="1" applyFill="1"/>
    <xf numFmtId="49" fontId="53" fillId="53" borderId="10" xfId="92" applyNumberFormat="1" applyFont="1" applyFill="1" applyBorder="1" applyAlignment="1">
      <alignment horizontal="left" wrapText="1"/>
    </xf>
    <xf numFmtId="1" fontId="53" fillId="20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0" fontId="0" fillId="20" borderId="10" xfId="92" applyNumberFormat="1" applyFont="1" applyFill="1" applyBorder="1" applyAlignment="1">
      <alignment horizontal="left"/>
    </xf>
    <xf numFmtId="0" fontId="96" fillId="0" borderId="0" xfId="92" applyNumberFormat="1" applyFont="1" applyBorder="1" applyAlignment="1">
      <alignment horizontal="left"/>
    </xf>
    <xf numFmtId="0" fontId="53" fillId="53" borderId="10" xfId="92" applyNumberFormat="1" applyFont="1" applyFill="1" applyBorder="1" applyAlignment="1">
      <alignment horizontal="left" wrapText="1"/>
    </xf>
    <xf numFmtId="0" fontId="0" fillId="0" borderId="10" xfId="92" applyNumberFormat="1" applyFont="1" applyFill="1" applyBorder="1" applyAlignment="1">
      <alignment horizontal="left" wrapText="1"/>
    </xf>
    <xf numFmtId="2" fontId="53" fillId="57" borderId="10" xfId="92" applyNumberFormat="1" applyFont="1" applyFill="1" applyBorder="1" applyAlignment="1">
      <alignment horizontal="center" wrapText="1"/>
    </xf>
    <xf numFmtId="2" fontId="53" fillId="57" borderId="10" xfId="92" applyNumberFormat="1" applyFont="1" applyFill="1" applyBorder="1" applyAlignment="1">
      <alignment horizontal="left" wrapText="1"/>
    </xf>
    <xf numFmtId="0" fontId="53" fillId="57" borderId="10" xfId="92" applyNumberFormat="1" applyFont="1" applyFill="1" applyBorder="1" applyAlignment="1">
      <alignment horizontal="left" wrapText="1"/>
    </xf>
    <xf numFmtId="167" fontId="53" fillId="57" borderId="10" xfId="92" applyNumberFormat="1" applyFont="1" applyFill="1" applyBorder="1" applyAlignment="1">
      <alignment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0" fontId="53" fillId="53" borderId="10" xfId="92" applyNumberFormat="1" applyFont="1" applyFill="1" applyBorder="1" applyAlignment="1">
      <alignment horizontal="left" wrapText="1"/>
    </xf>
    <xf numFmtId="0" fontId="53" fillId="57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2" fontId="53" fillId="57" borderId="10" xfId="92" applyNumberFormat="1" applyFont="1" applyFill="1" applyBorder="1" applyAlignment="1">
      <alignment wrapText="1"/>
    </xf>
    <xf numFmtId="168" fontId="53" fillId="53" borderId="10" xfId="92" applyNumberFormat="1" applyFont="1" applyFill="1" applyBorder="1" applyAlignment="1">
      <alignment wrapText="1"/>
    </xf>
    <xf numFmtId="167" fontId="18" fillId="0" borderId="0" xfId="92" applyNumberFormat="1" applyFont="1" applyAlignment="1"/>
    <xf numFmtId="172" fontId="18" fillId="0" borderId="0" xfId="92" applyNumberFormat="1" applyFont="1" applyAlignment="1"/>
    <xf numFmtId="167" fontId="0" fillId="56" borderId="0" xfId="0" applyNumberFormat="1" applyFont="1" applyFill="1" applyBorder="1"/>
    <xf numFmtId="0" fontId="35" fillId="0" borderId="10" xfId="0" applyFont="1" applyBorder="1" applyAlignment="1">
      <alignment horizontal="left" vertical="center" wrapText="1"/>
    </xf>
    <xf numFmtId="0" fontId="35" fillId="51" borderId="10" xfId="0" applyFont="1" applyFill="1" applyBorder="1" applyAlignment="1">
      <alignment horizontal="left" vertical="center" wrapText="1"/>
    </xf>
    <xf numFmtId="0" fontId="35" fillId="20" borderId="10" xfId="0" applyFont="1" applyFill="1" applyBorder="1" applyAlignment="1">
      <alignment horizontal="left" vertical="center" wrapText="1"/>
    </xf>
    <xf numFmtId="0" fontId="35" fillId="50" borderId="10" xfId="0" applyFont="1" applyFill="1" applyBorder="1" applyAlignment="1">
      <alignment horizontal="left" vertical="center" wrapText="1"/>
    </xf>
    <xf numFmtId="0" fontId="4" fillId="20" borderId="10" xfId="0" applyFont="1" applyFill="1" applyBorder="1" applyAlignment="1">
      <alignment horizontal="left" vertical="center" wrapText="1"/>
    </xf>
    <xf numFmtId="0" fontId="4" fillId="5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5" fillId="52" borderId="10" xfId="0" applyFont="1" applyFill="1" applyBorder="1" applyAlignment="1">
      <alignment horizontal="left" vertical="center" wrapText="1"/>
    </xf>
    <xf numFmtId="0" fontId="35" fillId="51" borderId="10" xfId="0" applyFont="1" applyFill="1" applyBorder="1" applyAlignment="1">
      <alignment vertical="center"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49" fontId="53" fillId="0" borderId="10" xfId="92" applyNumberFormat="1" applyFont="1" applyFill="1" applyBorder="1" applyAlignment="1">
      <alignment horizontal="left" wrapText="1"/>
    </xf>
    <xf numFmtId="49" fontId="0" fillId="0" borderId="10" xfId="92" applyNumberFormat="1" applyFont="1" applyFill="1" applyBorder="1" applyAlignment="1">
      <alignment horizontal="left" wrapText="1"/>
    </xf>
    <xf numFmtId="0" fontId="53" fillId="53" borderId="10" xfId="92" applyNumberFormat="1" applyFont="1" applyFill="1" applyBorder="1" applyAlignment="1">
      <alignment horizontal="left" wrapText="1"/>
    </xf>
    <xf numFmtId="49" fontId="5" fillId="0" borderId="10" xfId="92" applyNumberFormat="1" applyFont="1" applyFill="1" applyBorder="1" applyAlignment="1">
      <alignment horizontal="center"/>
    </xf>
    <xf numFmtId="167" fontId="11" fillId="57" borderId="10" xfId="92" applyNumberFormat="1" applyFont="1" applyFill="1" applyBorder="1"/>
    <xf numFmtId="2" fontId="0" fillId="0" borderId="0" xfId="92" applyNumberFormat="1" applyFont="1" applyFill="1" applyBorder="1" applyAlignment="1">
      <alignment wrapText="1"/>
    </xf>
    <xf numFmtId="167" fontId="87" fillId="0" borderId="0" xfId="90" applyNumberFormat="1" applyFont="1"/>
    <xf numFmtId="172" fontId="96" fillId="0" borderId="0" xfId="92" applyNumberFormat="1" applyFont="1"/>
    <xf numFmtId="172" fontId="96" fillId="0" borderId="0" xfId="92" applyNumberFormat="1" applyFont="1" applyBorder="1"/>
    <xf numFmtId="167" fontId="97" fillId="0" borderId="0" xfId="90" applyNumberFormat="1" applyFont="1"/>
    <xf numFmtId="2" fontId="53" fillId="53" borderId="10" xfId="92" applyNumberFormat="1" applyFont="1" applyFill="1" applyBorder="1" applyAlignment="1">
      <alignment wrapText="1"/>
    </xf>
    <xf numFmtId="0" fontId="33" fillId="0" borderId="0" xfId="0" applyFont="1" applyAlignment="1"/>
    <xf numFmtId="0" fontId="31" fillId="55" borderId="13" xfId="92" applyNumberFormat="1" applyFont="1" applyFill="1" applyBorder="1" applyAlignment="1">
      <alignment horizontal="left" vertical="center" wrapText="1"/>
    </xf>
    <xf numFmtId="0" fontId="31" fillId="55" borderId="13" xfId="92" applyFont="1" applyFill="1" applyBorder="1" applyAlignment="1">
      <alignment horizontal="center" vertical="center" wrapText="1"/>
    </xf>
    <xf numFmtId="167" fontId="31" fillId="55" borderId="13" xfId="92" applyNumberFormat="1" applyFont="1" applyFill="1" applyBorder="1" applyAlignment="1">
      <alignment horizontal="center" vertical="center" wrapText="1"/>
    </xf>
    <xf numFmtId="167" fontId="31" fillId="55" borderId="13" xfId="92" applyNumberFormat="1" applyFont="1" applyFill="1" applyBorder="1" applyAlignment="1">
      <alignment horizontal="right" vertical="center" wrapText="1"/>
    </xf>
    <xf numFmtId="0" fontId="31" fillId="55" borderId="13" xfId="0" applyFont="1" applyFill="1" applyBorder="1" applyAlignment="1">
      <alignment horizontal="center" vertical="center" wrapText="1"/>
    </xf>
    <xf numFmtId="167" fontId="31" fillId="55" borderId="10" xfId="92" applyNumberFormat="1" applyFont="1" applyFill="1" applyBorder="1" applyAlignment="1">
      <alignment horizontal="right" vertical="center" wrapText="1"/>
    </xf>
    <xf numFmtId="3" fontId="31" fillId="55" borderId="13" xfId="92" applyNumberFormat="1" applyFont="1" applyFill="1" applyBorder="1" applyAlignment="1">
      <alignment horizontal="center" vertical="center" wrapText="1"/>
    </xf>
    <xf numFmtId="2" fontId="31" fillId="55" borderId="13" xfId="92" applyNumberFormat="1" applyFont="1" applyFill="1" applyBorder="1" applyAlignment="1">
      <alignment horizontal="left" vertical="center" wrapText="1"/>
    </xf>
    <xf numFmtId="3" fontId="29" fillId="55" borderId="13" xfId="92" applyNumberFormat="1" applyFont="1" applyFill="1" applyBorder="1" applyAlignment="1">
      <alignment horizontal="center" vertical="center" wrapText="1"/>
    </xf>
    <xf numFmtId="0" fontId="87" fillId="50" borderId="0" xfId="91" applyFont="1" applyFill="1"/>
    <xf numFmtId="167" fontId="57" fillId="0" borderId="0" xfId="92" applyNumberFormat="1" applyFont="1" applyFill="1" applyBorder="1"/>
    <xf numFmtId="0" fontId="0" fillId="0" borderId="22" xfId="91" applyFont="1" applyBorder="1"/>
    <xf numFmtId="4" fontId="53" fillId="0" borderId="0" xfId="91" applyNumberFormat="1" applyBorder="1"/>
    <xf numFmtId="175" fontId="53" fillId="0" borderId="23" xfId="91" applyNumberFormat="1" applyBorder="1"/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0" fontId="11" fillId="0" borderId="10" xfId="92" applyNumberFormat="1" applyFont="1" applyFill="1" applyBorder="1" applyAlignment="1">
      <alignment horizontal="left" wrapText="1"/>
    </xf>
    <xf numFmtId="0" fontId="53" fillId="53" borderId="10" xfId="92" applyNumberFormat="1" applyFont="1" applyFill="1" applyBorder="1" applyAlignment="1">
      <alignment horizontal="left" wrapText="1"/>
    </xf>
    <xf numFmtId="0" fontId="98" fillId="0" borderId="0" xfId="91" applyFont="1"/>
    <xf numFmtId="167" fontId="99" fillId="0" borderId="0" xfId="92" applyNumberFormat="1" applyFont="1" applyBorder="1"/>
    <xf numFmtId="172" fontId="98" fillId="0" borderId="0" xfId="91" applyNumberFormat="1" applyFont="1"/>
    <xf numFmtId="167" fontId="99" fillId="0" borderId="0" xfId="92" applyNumberFormat="1" applyFont="1"/>
    <xf numFmtId="172" fontId="99" fillId="0" borderId="0" xfId="92" applyNumberFormat="1" applyFont="1" applyBorder="1"/>
    <xf numFmtId="172" fontId="99" fillId="0" borderId="0" xfId="92" applyNumberFormat="1" applyFont="1"/>
    <xf numFmtId="2" fontId="53" fillId="53" borderId="10" xfId="92" applyNumberFormat="1" applyFont="1" applyFill="1" applyBorder="1" applyAlignment="1">
      <alignment wrapText="1"/>
    </xf>
    <xf numFmtId="2" fontId="53" fillId="53" borderId="10" xfId="92" applyNumberFormat="1" applyFont="1" applyFill="1" applyBorder="1" applyAlignment="1">
      <alignment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0" fontId="0" fillId="0" borderId="10" xfId="92" applyNumberFormat="1" applyFont="1" applyFill="1" applyBorder="1" applyAlignment="1">
      <alignment horizontal="left"/>
    </xf>
    <xf numFmtId="49" fontId="0" fillId="0" borderId="10" xfId="0" applyNumberFormat="1" applyFont="1" applyBorder="1" applyAlignment="1">
      <alignment horizontal="center" vertical="center"/>
    </xf>
    <xf numFmtId="49" fontId="53" fillId="53" borderId="10" xfId="92" applyNumberFormat="1" applyFont="1" applyFill="1" applyBorder="1" applyAlignment="1">
      <alignment horizontal="center" wrapText="1"/>
    </xf>
    <xf numFmtId="49" fontId="53" fillId="53" borderId="10" xfId="92" applyNumberFormat="1" applyFont="1" applyFill="1" applyBorder="1" applyAlignment="1">
      <alignment horizontal="left" wrapText="1"/>
    </xf>
    <xf numFmtId="167" fontId="11" fillId="20" borderId="10" xfId="92" applyNumberFormat="1" applyFont="1" applyFill="1" applyBorder="1" applyAlignment="1">
      <alignment horizontal="right"/>
    </xf>
    <xf numFmtId="167" fontId="53" fillId="20" borderId="10" xfId="92" applyNumberFormat="1" applyFont="1" applyFill="1" applyBorder="1" applyAlignment="1">
      <alignment horizontal="right" wrapText="1"/>
    </xf>
    <xf numFmtId="49" fontId="53" fillId="20" borderId="10" xfId="92" applyNumberFormat="1" applyFont="1" applyFill="1" applyBorder="1" applyAlignment="1">
      <alignment horizontal="center" wrapText="1"/>
    </xf>
    <xf numFmtId="167" fontId="53" fillId="53" borderId="10" xfId="92" applyNumberFormat="1" applyFont="1" applyFill="1" applyBorder="1" applyAlignment="1">
      <alignment horizontal="right" wrapText="1"/>
    </xf>
    <xf numFmtId="167" fontId="53" fillId="53" borderId="10" xfId="92" applyNumberFormat="1" applyFont="1" applyFill="1" applyBorder="1" applyAlignment="1">
      <alignment wrapText="1"/>
    </xf>
    <xf numFmtId="0" fontId="66" fillId="0" borderId="25" xfId="38" quotePrefix="1" applyNumberFormat="1" applyProtection="1">
      <alignment horizontal="left" vertical="top" wrapText="1"/>
    </xf>
    <xf numFmtId="172" fontId="100" fillId="21" borderId="0" xfId="92" applyNumberFormat="1" applyFont="1" applyFill="1" applyBorder="1"/>
    <xf numFmtId="167" fontId="100" fillId="21" borderId="0" xfId="92" applyNumberFormat="1" applyFont="1" applyFill="1" applyBorder="1"/>
    <xf numFmtId="172" fontId="85" fillId="0" borderId="0" xfId="0" applyNumberFormat="1" applyFont="1"/>
    <xf numFmtId="172" fontId="85" fillId="0" borderId="0" xfId="0" applyNumberFormat="1" applyFont="1" applyFill="1"/>
    <xf numFmtId="172" fontId="0" fillId="55" borderId="0" xfId="0" applyNumberFormat="1" applyFont="1" applyFill="1"/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49" fontId="11" fillId="57" borderId="10" xfId="92" applyNumberFormat="1" applyFont="1" applyFill="1" applyBorder="1" applyAlignment="1">
      <alignment horizontal="center"/>
    </xf>
    <xf numFmtId="49" fontId="5" fillId="57" borderId="10" xfId="92" applyNumberFormat="1" applyFont="1" applyFill="1" applyBorder="1" applyAlignment="1">
      <alignment horizontal="left"/>
    </xf>
    <xf numFmtId="0" fontId="53" fillId="57" borderId="10" xfId="92" applyNumberFormat="1" applyFont="1" applyFill="1" applyBorder="1" applyAlignment="1">
      <alignment horizontal="left"/>
    </xf>
    <xf numFmtId="167" fontId="53" fillId="57" borderId="10" xfId="92" applyNumberFormat="1" applyFont="1" applyFill="1" applyBorder="1"/>
    <xf numFmtId="167" fontId="33" fillId="57" borderId="10" xfId="92" applyNumberFormat="1" applyFont="1" applyFill="1" applyBorder="1"/>
    <xf numFmtId="0" fontId="29" fillId="0" borderId="13" xfId="92" applyNumberFormat="1" applyFont="1" applyFill="1" applyBorder="1" applyAlignment="1">
      <alignment horizontal="left" vertical="center" wrapText="1"/>
    </xf>
    <xf numFmtId="3" fontId="29" fillId="0" borderId="13" xfId="92" applyNumberFormat="1" applyFont="1" applyFill="1" applyBorder="1" applyAlignment="1">
      <alignment horizontal="center" vertical="center" wrapText="1"/>
    </xf>
    <xf numFmtId="167" fontId="29" fillId="0" borderId="10" xfId="92" applyNumberFormat="1" applyFont="1" applyFill="1" applyBorder="1" applyAlignment="1">
      <alignment horizontal="right" vertical="center" wrapText="1"/>
    </xf>
    <xf numFmtId="167" fontId="96" fillId="0" borderId="0" xfId="92" applyNumberFormat="1" applyFont="1" applyBorder="1"/>
    <xf numFmtId="167" fontId="96" fillId="0" borderId="0" xfId="92" applyNumberFormat="1" applyFont="1"/>
    <xf numFmtId="167" fontId="100" fillId="0" borderId="0" xfId="92" applyNumberFormat="1" applyFont="1" applyAlignment="1">
      <alignment wrapText="1"/>
    </xf>
    <xf numFmtId="176" fontId="55" fillId="0" borderId="0" xfId="0" applyNumberFormat="1" applyFont="1" applyBorder="1" applyAlignment="1">
      <alignment horizontal="left" wrapText="1"/>
    </xf>
    <xf numFmtId="2" fontId="53" fillId="57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167" fontId="0" fillId="20" borderId="10" xfId="92" applyNumberFormat="1" applyFont="1" applyFill="1" applyBorder="1" applyAlignment="1">
      <alignment wrapText="1"/>
    </xf>
    <xf numFmtId="49" fontId="53" fillId="53" borderId="10" xfId="92" applyNumberFormat="1" applyFont="1" applyFill="1" applyBorder="1" applyAlignment="1">
      <alignment horizontal="left" wrapText="1"/>
    </xf>
    <xf numFmtId="0" fontId="53" fillId="53" borderId="10" xfId="92" applyNumberFormat="1" applyFont="1" applyFill="1" applyBorder="1" applyAlignment="1">
      <alignment horizontal="left" wrapText="1"/>
    </xf>
    <xf numFmtId="172" fontId="101" fillId="0" borderId="0" xfId="92" applyNumberFormat="1" applyFont="1"/>
    <xf numFmtId="167" fontId="101" fillId="0" borderId="0" xfId="92" applyNumberFormat="1" applyFont="1"/>
    <xf numFmtId="0" fontId="53" fillId="53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49" fontId="53" fillId="57" borderId="10" xfId="92" applyNumberFormat="1" applyFont="1" applyFill="1" applyBorder="1" applyAlignment="1">
      <alignment horizontal="left" wrapText="1"/>
    </xf>
    <xf numFmtId="0" fontId="29" fillId="55" borderId="13" xfId="0" applyFont="1" applyFill="1" applyBorder="1" applyAlignment="1">
      <alignment horizontal="center" vertical="top" wrapText="1"/>
    </xf>
    <xf numFmtId="167" fontId="0" fillId="55" borderId="0" xfId="0" applyNumberFormat="1" applyFill="1"/>
    <xf numFmtId="2" fontId="53" fillId="53" borderId="10" xfId="92" applyNumberFormat="1" applyFont="1" applyFill="1" applyBorder="1" applyAlignment="1">
      <alignment wrapText="1"/>
    </xf>
    <xf numFmtId="2" fontId="53" fillId="57" borderId="10" xfId="92" applyNumberFormat="1" applyFont="1" applyFill="1" applyBorder="1" applyAlignment="1">
      <alignment wrapText="1"/>
    </xf>
    <xf numFmtId="11" fontId="0" fillId="0" borderId="10" xfId="92" applyNumberFormat="1" applyFont="1" applyFill="1" applyBorder="1" applyAlignment="1">
      <alignment horizontal="left" wrapText="1"/>
    </xf>
    <xf numFmtId="49" fontId="11" fillId="58" borderId="10" xfId="92" applyNumberFormat="1" applyFont="1" applyFill="1" applyBorder="1" applyAlignment="1">
      <alignment horizontal="center"/>
    </xf>
    <xf numFmtId="49" fontId="11" fillId="58" borderId="10" xfId="92" applyNumberFormat="1" applyFont="1" applyFill="1" applyBorder="1" applyAlignment="1">
      <alignment horizontal="left"/>
    </xf>
    <xf numFmtId="167" fontId="11" fillId="58" borderId="10" xfId="92" applyNumberFormat="1" applyFont="1" applyFill="1" applyBorder="1"/>
    <xf numFmtId="2" fontId="53" fillId="53" borderId="10" xfId="92" applyNumberFormat="1" applyFont="1" applyFill="1" applyBorder="1" applyAlignment="1">
      <alignment wrapText="1"/>
    </xf>
    <xf numFmtId="167" fontId="87" fillId="0" borderId="10" xfId="0" applyNumberFormat="1" applyFont="1" applyFill="1" applyBorder="1"/>
    <xf numFmtId="167" fontId="87" fillId="0" borderId="10" xfId="0" applyNumberFormat="1" applyFont="1" applyBorder="1"/>
    <xf numFmtId="2" fontId="53" fillId="53" borderId="10" xfId="92" applyNumberFormat="1" applyFont="1" applyFill="1" applyBorder="1" applyAlignment="1">
      <alignment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0" fontId="4" fillId="0" borderId="10" xfId="89" applyFont="1" applyBorder="1" applyAlignment="1">
      <alignment horizontal="center" vertical="center" wrapText="1"/>
    </xf>
    <xf numFmtId="0" fontId="35" fillId="0" borderId="10" xfId="89" applyFont="1" applyBorder="1" applyAlignment="1">
      <alignment horizontal="center" vertical="center" wrapText="1"/>
    </xf>
    <xf numFmtId="0" fontId="53" fillId="53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2" fontId="0" fillId="20" borderId="0" xfId="92" applyNumberFormat="1" applyFont="1" applyFill="1" applyBorder="1" applyAlignment="1">
      <alignment wrapText="1"/>
    </xf>
    <xf numFmtId="2" fontId="53" fillId="57" borderId="10" xfId="92" applyNumberFormat="1" applyFont="1" applyFill="1" applyBorder="1" applyAlignment="1">
      <alignment wrapText="1"/>
    </xf>
    <xf numFmtId="2" fontId="53" fillId="53" borderId="10" xfId="92" applyNumberFormat="1" applyFont="1" applyFill="1" applyBorder="1" applyAlignment="1">
      <alignment wrapText="1"/>
    </xf>
    <xf numFmtId="172" fontId="0" fillId="0" borderId="0" xfId="0" applyNumberFormat="1"/>
    <xf numFmtId="2" fontId="53" fillId="57" borderId="10" xfId="92" applyNumberFormat="1" applyFont="1" applyFill="1" applyBorder="1" applyAlignment="1">
      <alignment wrapText="1"/>
    </xf>
    <xf numFmtId="167" fontId="85" fillId="0" borderId="10" xfId="0" applyNumberFormat="1" applyFont="1" applyFill="1" applyBorder="1"/>
    <xf numFmtId="167" fontId="53" fillId="54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0" fontId="53" fillId="53" borderId="10" xfId="92" applyNumberFormat="1" applyFont="1" applyFill="1" applyBorder="1" applyAlignment="1">
      <alignment horizontal="left" wrapText="1"/>
    </xf>
    <xf numFmtId="49" fontId="53" fillId="53" borderId="10" xfId="92" applyNumberFormat="1" applyFont="1" applyFill="1" applyBorder="1" applyAlignment="1">
      <alignment horizontal="left" wrapText="1"/>
    </xf>
    <xf numFmtId="167" fontId="102" fillId="20" borderId="10" xfId="92" applyNumberFormat="1" applyFont="1" applyFill="1" applyBorder="1"/>
    <xf numFmtId="167" fontId="85" fillId="20" borderId="10" xfId="92" applyNumberFormat="1" applyFont="1" applyFill="1" applyBorder="1" applyAlignment="1">
      <alignment wrapText="1"/>
    </xf>
    <xf numFmtId="167" fontId="102" fillId="20" borderId="10" xfId="92" applyNumberFormat="1" applyFont="1" applyFill="1" applyBorder="1" applyAlignment="1">
      <alignment wrapText="1"/>
    </xf>
    <xf numFmtId="167" fontId="103" fillId="20" borderId="10" xfId="92" applyNumberFormat="1" applyFont="1" applyFill="1" applyBorder="1"/>
    <xf numFmtId="174" fontId="0" fillId="0" borderId="0" xfId="0" applyNumberFormat="1" applyFont="1"/>
    <xf numFmtId="167" fontId="85" fillId="0" borderId="10" xfId="0" applyNumberFormat="1" applyFont="1" applyBorder="1"/>
    <xf numFmtId="0" fontId="53" fillId="53" borderId="10" xfId="92" applyNumberFormat="1" applyFont="1" applyFill="1" applyBorder="1" applyAlignment="1">
      <alignment horizontal="left" wrapText="1"/>
    </xf>
    <xf numFmtId="0" fontId="53" fillId="53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172" fontId="104" fillId="0" borderId="0" xfId="92" applyNumberFormat="1" applyFont="1" applyBorder="1"/>
    <xf numFmtId="2" fontId="53" fillId="53" borderId="10" xfId="92" applyNumberFormat="1" applyFont="1" applyFill="1" applyBorder="1" applyAlignment="1">
      <alignment wrapText="1"/>
    </xf>
    <xf numFmtId="167" fontId="96" fillId="0" borderId="10" xfId="0" applyNumberFormat="1" applyFont="1" applyBorder="1" applyAlignment="1"/>
    <xf numFmtId="167" fontId="87" fillId="0" borderId="10" xfId="0" applyNumberFormat="1" applyFont="1" applyBorder="1" applyAlignment="1">
      <alignment wrapText="1"/>
    </xf>
    <xf numFmtId="172" fontId="0" fillId="55" borderId="0" xfId="0" applyNumberFormat="1" applyFill="1"/>
    <xf numFmtId="11" fontId="53" fillId="53" borderId="10" xfId="92" applyNumberFormat="1" applyFont="1" applyFill="1" applyBorder="1" applyAlignment="1">
      <alignment horizontal="left" wrapText="1"/>
    </xf>
    <xf numFmtId="0" fontId="53" fillId="53" borderId="10" xfId="92" applyNumberFormat="1" applyFont="1" applyFill="1" applyBorder="1" applyAlignment="1">
      <alignment horizontal="left" wrapText="1"/>
    </xf>
    <xf numFmtId="2" fontId="53" fillId="53" borderId="10" xfId="92" applyNumberFormat="1" applyFont="1" applyFill="1" applyBorder="1" applyAlignment="1">
      <alignment wrapText="1"/>
    </xf>
    <xf numFmtId="167" fontId="26" fillId="0" borderId="0" xfId="89" applyNumberFormat="1" applyFont="1" applyAlignment="1"/>
    <xf numFmtId="171" fontId="0" fillId="0" borderId="0" xfId="0" applyNumberFormat="1"/>
    <xf numFmtId="2" fontId="53" fillId="54" borderId="10" xfId="92" applyNumberFormat="1" applyFont="1" applyFill="1" applyBorder="1" applyAlignment="1">
      <alignment horizontal="center" wrapText="1"/>
    </xf>
    <xf numFmtId="2" fontId="53" fillId="54" borderId="10" xfId="92" applyNumberFormat="1" applyFont="1" applyFill="1" applyBorder="1" applyAlignment="1">
      <alignment horizontal="left" wrapText="1"/>
    </xf>
    <xf numFmtId="0" fontId="53" fillId="54" borderId="10" xfId="92" applyNumberFormat="1" applyFont="1" applyFill="1" applyBorder="1" applyAlignment="1">
      <alignment horizontal="left" wrapText="1"/>
    </xf>
    <xf numFmtId="172" fontId="10" fillId="54" borderId="0" xfId="91" applyNumberFormat="1" applyFont="1" applyFill="1"/>
    <xf numFmtId="0" fontId="53" fillId="54" borderId="0" xfId="91" applyFill="1"/>
    <xf numFmtId="167" fontId="10" fillId="54" borderId="0" xfId="91" applyNumberFormat="1" applyFont="1" applyFill="1"/>
    <xf numFmtId="4" fontId="67" fillId="35" borderId="25" xfId="35" applyNumberFormat="1" applyProtection="1">
      <alignment horizontal="right" vertical="top" shrinkToFit="1"/>
    </xf>
    <xf numFmtId="2" fontId="85" fillId="53" borderId="10" xfId="92" applyNumberFormat="1" applyFont="1" applyFill="1" applyBorder="1" applyAlignment="1">
      <alignment horizontal="center" wrapText="1"/>
    </xf>
    <xf numFmtId="2" fontId="85" fillId="53" borderId="10" xfId="92" applyNumberFormat="1" applyFont="1" applyFill="1" applyBorder="1" applyAlignment="1">
      <alignment horizontal="left" wrapText="1"/>
    </xf>
    <xf numFmtId="0" fontId="85" fillId="53" borderId="10" xfId="92" applyNumberFormat="1" applyFont="1" applyFill="1" applyBorder="1" applyAlignment="1">
      <alignment horizontal="left" wrapText="1"/>
    </xf>
    <xf numFmtId="2" fontId="85" fillId="20" borderId="10" xfId="92" applyNumberFormat="1" applyFont="1" applyFill="1" applyBorder="1" applyAlignment="1">
      <alignment horizontal="center" wrapText="1"/>
    </xf>
    <xf numFmtId="2" fontId="85" fillId="20" borderId="10" xfId="92" applyNumberFormat="1" applyFont="1" applyFill="1" applyBorder="1" applyAlignment="1">
      <alignment horizontal="left" wrapText="1"/>
    </xf>
    <xf numFmtId="0" fontId="85" fillId="20" borderId="10" xfId="92" applyNumberFormat="1" applyFont="1" applyFill="1" applyBorder="1" applyAlignment="1">
      <alignment horizontal="left" wrapText="1"/>
    </xf>
    <xf numFmtId="167" fontId="85" fillId="53" borderId="10" xfId="92" applyNumberFormat="1" applyFont="1" applyFill="1" applyBorder="1" applyAlignment="1">
      <alignment wrapText="1"/>
    </xf>
    <xf numFmtId="172" fontId="105" fillId="0" borderId="0" xfId="91" applyNumberFormat="1" applyFont="1"/>
    <xf numFmtId="167" fontId="85" fillId="0" borderId="0" xfId="91" applyNumberFormat="1" applyFont="1"/>
    <xf numFmtId="167" fontId="105" fillId="0" borderId="0" xfId="91" applyNumberFormat="1" applyFont="1"/>
    <xf numFmtId="0" fontId="85" fillId="0" borderId="0" xfId="91" applyFont="1"/>
    <xf numFmtId="49" fontId="53" fillId="53" borderId="10" xfId="92" applyNumberFormat="1" applyFont="1" applyFill="1" applyBorder="1" applyAlignment="1">
      <alignment horizontal="left" wrapText="1"/>
    </xf>
    <xf numFmtId="0" fontId="53" fillId="53" borderId="10" xfId="92" applyNumberFormat="1" applyFont="1" applyFill="1" applyBorder="1" applyAlignment="1">
      <alignment horizontal="left" wrapText="1"/>
    </xf>
    <xf numFmtId="2" fontId="53" fillId="58" borderId="10" xfId="92" applyNumberFormat="1" applyFont="1" applyFill="1" applyBorder="1" applyAlignment="1">
      <alignment horizontal="center" wrapText="1"/>
    </xf>
    <xf numFmtId="2" fontId="53" fillId="58" borderId="10" xfId="92" applyNumberFormat="1" applyFont="1" applyFill="1" applyBorder="1" applyAlignment="1">
      <alignment horizontal="left" wrapText="1"/>
    </xf>
    <xf numFmtId="49" fontId="53" fillId="58" borderId="10" xfId="92" applyNumberFormat="1" applyFont="1" applyFill="1" applyBorder="1" applyAlignment="1">
      <alignment horizontal="left" wrapText="1"/>
    </xf>
    <xf numFmtId="0" fontId="53" fillId="58" borderId="10" xfId="92" applyNumberFormat="1" applyFont="1" applyFill="1" applyBorder="1" applyAlignment="1">
      <alignment horizontal="left" wrapText="1"/>
    </xf>
    <xf numFmtId="167" fontId="53" fillId="58" borderId="10" xfId="92" applyNumberFormat="1" applyFont="1" applyFill="1" applyBorder="1" applyAlignment="1">
      <alignment wrapText="1"/>
    </xf>
    <xf numFmtId="0" fontId="53" fillId="53" borderId="10" xfId="92" applyNumberFormat="1" applyFont="1" applyFill="1" applyBorder="1" applyAlignment="1">
      <alignment horizontal="left" wrapText="1"/>
    </xf>
    <xf numFmtId="0" fontId="53" fillId="58" borderId="10" xfId="92" applyNumberFormat="1" applyFont="1" applyFill="1" applyBorder="1" applyAlignment="1">
      <alignment horizontal="left" wrapText="1"/>
    </xf>
    <xf numFmtId="0" fontId="53" fillId="57" borderId="10" xfId="92" applyNumberFormat="1" applyFont="1" applyFill="1" applyBorder="1" applyAlignment="1">
      <alignment horizontal="left" wrapText="1"/>
    </xf>
    <xf numFmtId="49" fontId="53" fillId="0" borderId="10" xfId="92" applyNumberFormat="1" applyFont="1" applyFill="1" applyBorder="1" applyAlignment="1">
      <alignment horizontal="center" wrapText="1"/>
    </xf>
    <xf numFmtId="167" fontId="53" fillId="0" borderId="10" xfId="92" applyNumberFormat="1" applyFont="1" applyFill="1" applyBorder="1" applyAlignment="1">
      <alignment horizontal="right" wrapText="1"/>
    </xf>
    <xf numFmtId="167" fontId="106" fillId="0" borderId="13" xfId="0" applyNumberFormat="1" applyFont="1" applyFill="1" applyBorder="1" applyAlignment="1">
      <alignment vertical="top"/>
    </xf>
    <xf numFmtId="167" fontId="106" fillId="0" borderId="14" xfId="0" applyNumberFormat="1" applyFont="1" applyFill="1" applyBorder="1" applyAlignment="1">
      <alignment vertical="top"/>
    </xf>
    <xf numFmtId="167" fontId="106" fillId="0" borderId="10" xfId="0" applyNumberFormat="1" applyFont="1" applyFill="1" applyBorder="1" applyAlignment="1">
      <alignment vertical="top"/>
    </xf>
    <xf numFmtId="167" fontId="106" fillId="0" borderId="14" xfId="0" applyNumberFormat="1" applyFont="1" applyFill="1" applyBorder="1" applyAlignment="1">
      <alignment horizontal="right" vertical="top"/>
    </xf>
    <xf numFmtId="167" fontId="106" fillId="0" borderId="14" xfId="0" applyNumberFormat="1" applyFont="1" applyBorder="1" applyAlignment="1">
      <alignment horizontal="right" vertical="top"/>
    </xf>
    <xf numFmtId="167" fontId="106" fillId="0" borderId="13" xfId="0" applyNumberFormat="1" applyFont="1" applyFill="1" applyBorder="1" applyAlignment="1">
      <alignment horizontal="right" vertical="top" wrapText="1"/>
    </xf>
    <xf numFmtId="167" fontId="106" fillId="0" borderId="10" xfId="0" applyNumberFormat="1" applyFont="1" applyFill="1" applyBorder="1" applyAlignment="1"/>
    <xf numFmtId="167" fontId="106" fillId="0" borderId="10" xfId="0" applyNumberFormat="1" applyFont="1" applyFill="1" applyBorder="1" applyAlignment="1">
      <alignment horizontal="right" vertical="top"/>
    </xf>
    <xf numFmtId="167" fontId="106" fillId="0" borderId="14" xfId="0" applyNumberFormat="1" applyFont="1" applyFill="1" applyBorder="1" applyAlignment="1">
      <alignment horizontal="right" vertical="top" wrapText="1"/>
    </xf>
    <xf numFmtId="167" fontId="85" fillId="20" borderId="10" xfId="92" applyNumberFormat="1" applyFont="1" applyFill="1" applyBorder="1"/>
    <xf numFmtId="167" fontId="11" fillId="54" borderId="10" xfId="92" applyNumberFormat="1" applyFont="1" applyFill="1" applyBorder="1"/>
    <xf numFmtId="172" fontId="53" fillId="20" borderId="10" xfId="92" applyNumberFormat="1" applyFont="1" applyFill="1" applyBorder="1" applyAlignment="1">
      <alignment wrapText="1"/>
    </xf>
    <xf numFmtId="172" fontId="53" fillId="53" borderId="10" xfId="92" applyNumberFormat="1" applyFont="1" applyFill="1" applyBorder="1" applyAlignment="1">
      <alignment wrapText="1"/>
    </xf>
    <xf numFmtId="172" fontId="53" fillId="0" borderId="10" xfId="92" applyNumberFormat="1" applyFont="1" applyFill="1" applyBorder="1" applyAlignment="1">
      <alignment wrapText="1"/>
    </xf>
    <xf numFmtId="172" fontId="53" fillId="57" borderId="10" xfId="92" applyNumberFormat="1" applyFont="1" applyFill="1" applyBorder="1" applyAlignment="1">
      <alignment wrapText="1"/>
    </xf>
    <xf numFmtId="0" fontId="4" fillId="0" borderId="10" xfId="0" applyFont="1" applyBorder="1" applyAlignment="1">
      <alignment horizontal="left" vertical="top" wrapText="1"/>
    </xf>
    <xf numFmtId="0" fontId="11" fillId="58" borderId="10" xfId="92" applyNumberFormat="1" applyFont="1" applyFill="1" applyBorder="1" applyAlignment="1">
      <alignment horizontal="left"/>
    </xf>
    <xf numFmtId="0" fontId="0" fillId="53" borderId="10" xfId="92" applyNumberFormat="1" applyFont="1" applyFill="1" applyBorder="1" applyAlignment="1">
      <alignment horizontal="left" wrapText="1"/>
    </xf>
    <xf numFmtId="49" fontId="0" fillId="53" borderId="10" xfId="92" applyNumberFormat="1" applyFont="1" applyFill="1" applyBorder="1" applyAlignment="1">
      <alignment horizontal="left" wrapText="1"/>
    </xf>
    <xf numFmtId="0" fontId="0" fillId="58" borderId="10" xfId="92" applyNumberFormat="1" applyFont="1" applyFill="1" applyBorder="1" applyAlignment="1">
      <alignment horizontal="left" wrapText="1"/>
    </xf>
    <xf numFmtId="2" fontId="53" fillId="20" borderId="0" xfId="92" applyNumberFormat="1" applyFont="1" applyFill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14" applyFont="1" applyBorder="1"/>
    <xf numFmtId="0" fontId="3" fillId="0" borderId="0" xfId="114" applyFont="1" applyBorder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3" fillId="0" borderId="0" xfId="114" applyFont="1"/>
    <xf numFmtId="0" fontId="3" fillId="0" borderId="0" xfId="0" applyFont="1"/>
    <xf numFmtId="0" fontId="109" fillId="53" borderId="0" xfId="0" applyFont="1" applyFill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49" fontId="9" fillId="0" borderId="10" xfId="92" applyNumberFormat="1" applyFont="1" applyFill="1" applyBorder="1" applyAlignment="1">
      <alignment wrapText="1"/>
    </xf>
    <xf numFmtId="49" fontId="11" fillId="0" borderId="10" xfId="92" applyNumberFormat="1" applyFont="1" applyFill="1" applyBorder="1" applyAlignment="1">
      <alignment wrapText="1"/>
    </xf>
    <xf numFmtId="49" fontId="53" fillId="20" borderId="10" xfId="92" applyNumberFormat="1" applyFont="1" applyFill="1" applyBorder="1" applyAlignment="1">
      <alignment wrapText="1"/>
    </xf>
    <xf numFmtId="49" fontId="11" fillId="0" borderId="10" xfId="92" applyNumberFormat="1" applyFont="1" applyFill="1" applyBorder="1" applyAlignment="1">
      <alignment vertical="center" wrapText="1"/>
    </xf>
    <xf numFmtId="49" fontId="0" fillId="0" borderId="10" xfId="92" applyNumberFormat="1" applyFont="1" applyFill="1" applyBorder="1" applyAlignment="1">
      <alignment wrapText="1"/>
    </xf>
    <xf numFmtId="49" fontId="53" fillId="0" borderId="10" xfId="92" applyNumberFormat="1" applyFont="1" applyFill="1" applyBorder="1" applyAlignment="1">
      <alignment wrapText="1"/>
    </xf>
    <xf numFmtId="49" fontId="9" fillId="0" borderId="10" xfId="92" applyNumberFormat="1" applyFont="1" applyFill="1" applyBorder="1" applyAlignment="1">
      <alignment vertical="center" wrapText="1"/>
    </xf>
    <xf numFmtId="49" fontId="0" fillId="20" borderId="10" xfId="92" applyNumberFormat="1" applyFont="1" applyFill="1" applyBorder="1" applyAlignment="1">
      <alignment wrapText="1"/>
    </xf>
    <xf numFmtId="49" fontId="11" fillId="20" borderId="10" xfId="92" applyNumberFormat="1" applyFont="1" applyFill="1" applyBorder="1" applyAlignment="1">
      <alignment wrapText="1"/>
    </xf>
    <xf numFmtId="49" fontId="53" fillId="53" borderId="10" xfId="92" applyNumberFormat="1" applyFont="1" applyFill="1" applyBorder="1" applyAlignment="1">
      <alignment wrapText="1"/>
    </xf>
    <xf numFmtId="49" fontId="0" fillId="53" borderId="10" xfId="92" applyNumberFormat="1" applyFont="1" applyFill="1" applyBorder="1" applyAlignment="1">
      <alignment wrapText="1"/>
    </xf>
    <xf numFmtId="49" fontId="53" fillId="58" borderId="10" xfId="92" applyNumberFormat="1" applyFont="1" applyFill="1" applyBorder="1" applyAlignment="1">
      <alignment wrapText="1"/>
    </xf>
    <xf numFmtId="49" fontId="85" fillId="53" borderId="10" xfId="92" applyNumberFormat="1" applyFont="1" applyFill="1" applyBorder="1" applyAlignment="1">
      <alignment wrapText="1"/>
    </xf>
    <xf numFmtId="49" fontId="85" fillId="20" borderId="10" xfId="92" applyNumberFormat="1" applyFont="1" applyFill="1" applyBorder="1" applyAlignment="1">
      <alignment wrapText="1"/>
    </xf>
    <xf numFmtId="49" fontId="53" fillId="57" borderId="10" xfId="92" applyNumberFormat="1" applyFont="1" applyFill="1" applyBorder="1" applyAlignment="1">
      <alignment wrapText="1"/>
    </xf>
    <xf numFmtId="49" fontId="61" fillId="0" borderId="25" xfId="38" quotePrefix="1" applyNumberFormat="1" applyFont="1" applyAlignment="1" applyProtection="1">
      <alignment horizontal="left" vertical="top" wrapText="1" shrinkToFit="1"/>
    </xf>
    <xf numFmtId="49" fontId="66" fillId="0" borderId="25" xfId="38" quotePrefix="1" applyNumberFormat="1" applyAlignment="1" applyProtection="1">
      <alignment horizontal="left" vertical="top" wrapText="1"/>
    </xf>
    <xf numFmtId="49" fontId="53" fillId="54" borderId="10" xfId="92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9" fillId="0" borderId="0" xfId="89" applyFont="1" applyAlignment="1">
      <alignment horizontal="center"/>
    </xf>
    <xf numFmtId="167" fontId="0" fillId="0" borderId="10" xfId="9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 wrapText="1"/>
    </xf>
    <xf numFmtId="167" fontId="34" fillId="0" borderId="10" xfId="92" applyNumberFormat="1" applyFont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 vertical="top" wrapText="1"/>
    </xf>
    <xf numFmtId="167" fontId="26" fillId="0" borderId="10" xfId="92" applyNumberFormat="1" applyFont="1" applyBorder="1" applyAlignment="1">
      <alignment horizontal="center" vertical="center" wrapText="1"/>
    </xf>
    <xf numFmtId="167" fontId="26" fillId="0" borderId="14" xfId="92" applyNumberFormat="1" applyFont="1" applyBorder="1" applyAlignment="1">
      <alignment horizontal="center" vertical="center" wrapText="1"/>
    </xf>
    <xf numFmtId="167" fontId="26" fillId="0" borderId="13" xfId="92" applyNumberFormat="1" applyFont="1" applyBorder="1" applyAlignment="1">
      <alignment horizontal="center" vertical="center" wrapText="1"/>
    </xf>
    <xf numFmtId="172" fontId="34" fillId="0" borderId="10" xfId="92" applyNumberFormat="1" applyFont="1" applyBorder="1" applyAlignment="1">
      <alignment horizontal="center" vertical="center" wrapText="1"/>
    </xf>
    <xf numFmtId="172" fontId="26" fillId="0" borderId="10" xfId="92" applyNumberFormat="1" applyFont="1" applyBorder="1" applyAlignment="1">
      <alignment horizontal="center" vertical="center" wrapText="1"/>
    </xf>
    <xf numFmtId="0" fontId="18" fillId="0" borderId="0" xfId="92" applyFont="1" applyAlignment="1">
      <alignment horizontal="center"/>
    </xf>
    <xf numFmtId="0" fontId="8" fillId="0" borderId="14" xfId="0" applyNumberFormat="1" applyFont="1" applyFill="1" applyBorder="1" applyAlignment="1">
      <alignment horizontal="left" vertical="top" wrapText="1"/>
    </xf>
    <xf numFmtId="0" fontId="8" fillId="0" borderId="13" xfId="0" applyNumberFormat="1" applyFont="1" applyFill="1" applyBorder="1" applyAlignment="1">
      <alignment horizontal="left" vertical="top" wrapText="1"/>
    </xf>
    <xf numFmtId="2" fontId="7" fillId="0" borderId="14" xfId="92" applyNumberFormat="1" applyFont="1" applyBorder="1" applyAlignment="1">
      <alignment horizontal="center" vertical="center" wrapText="1"/>
    </xf>
    <xf numFmtId="2" fontId="7" fillId="0" borderId="13" xfId="92" applyNumberFormat="1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28" fillId="0" borderId="14" xfId="89" applyFont="1" applyBorder="1" applyAlignment="1">
      <alignment horizontal="center" vertical="center" wrapText="1"/>
    </xf>
    <xf numFmtId="0" fontId="28" fillId="0" borderId="12" xfId="89" applyFont="1" applyBorder="1" applyAlignment="1">
      <alignment horizontal="center" vertical="center" wrapText="1"/>
    </xf>
    <xf numFmtId="0" fontId="28" fillId="0" borderId="13" xfId="89" applyFont="1" applyBorder="1" applyAlignment="1">
      <alignment horizontal="center" vertical="center" wrapText="1"/>
    </xf>
    <xf numFmtId="0" fontId="27" fillId="0" borderId="0" xfId="90" applyFont="1" applyAlignment="1">
      <alignment horizontal="center" wrapText="1"/>
    </xf>
    <xf numFmtId="0" fontId="29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1" fillId="0" borderId="14" xfId="90" applyBorder="1" applyAlignment="1">
      <alignment horizontal="center" vertical="center" wrapText="1"/>
    </xf>
    <xf numFmtId="0" fontId="1" fillId="0" borderId="12" xfId="90" applyBorder="1" applyAlignment="1">
      <alignment horizontal="center" vertical="center" wrapText="1"/>
    </xf>
    <xf numFmtId="0" fontId="1" fillId="0" borderId="13" xfId="90" applyBorder="1" applyAlignment="1">
      <alignment horizontal="center" vertical="center" wrapText="1"/>
    </xf>
    <xf numFmtId="0" fontId="1" fillId="0" borderId="14" xfId="90" applyBorder="1" applyAlignment="1">
      <alignment horizontal="center" vertical="center"/>
    </xf>
    <xf numFmtId="0" fontId="1" fillId="0" borderId="12" xfId="90" applyBorder="1" applyAlignment="1">
      <alignment horizontal="center" vertical="center"/>
    </xf>
    <xf numFmtId="0" fontId="1" fillId="0" borderId="13" xfId="90" applyBorder="1" applyAlignment="1">
      <alignment horizontal="center" vertical="center"/>
    </xf>
    <xf numFmtId="167" fontId="31" fillId="0" borderId="10" xfId="92" applyNumberFormat="1" applyFont="1" applyBorder="1" applyAlignment="1">
      <alignment horizontal="center" vertical="center" wrapText="1"/>
    </xf>
    <xf numFmtId="167" fontId="29" fillId="0" borderId="10" xfId="92" applyNumberFormat="1" applyFont="1" applyBorder="1" applyAlignment="1">
      <alignment horizontal="center" vertical="center" wrapText="1"/>
    </xf>
    <xf numFmtId="0" fontId="31" fillId="0" borderId="0" xfId="92" applyFont="1" applyAlignment="1">
      <alignment horizontal="center"/>
    </xf>
    <xf numFmtId="0" fontId="31" fillId="0" borderId="14" xfId="92" applyNumberFormat="1" applyFont="1" applyBorder="1" applyAlignment="1">
      <alignment horizontal="center" vertical="center" wrapText="1"/>
    </xf>
    <xf numFmtId="0" fontId="31" fillId="0" borderId="13" xfId="92" applyNumberFormat="1" applyFont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top" wrapText="1"/>
    </xf>
    <xf numFmtId="0" fontId="31" fillId="0" borderId="13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167" fontId="31" fillId="0" borderId="14" xfId="92" applyNumberFormat="1" applyFont="1" applyBorder="1" applyAlignment="1">
      <alignment horizontal="center" vertical="center" wrapText="1"/>
    </xf>
    <xf numFmtId="167" fontId="31" fillId="0" borderId="13" xfId="92" applyNumberFormat="1" applyFont="1" applyBorder="1" applyAlignment="1">
      <alignment horizontal="center" vertical="center" wrapText="1"/>
    </xf>
  </cellXfs>
  <cellStyles count="11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br" xfId="19"/>
    <cellStyle name="col" xfId="20"/>
    <cellStyle name="style0" xfId="21"/>
    <cellStyle name="td" xfId="22"/>
    <cellStyle name="tr" xfId="23"/>
    <cellStyle name="xl21" xfId="24"/>
    <cellStyle name="xl22" xfId="25"/>
    <cellStyle name="xl23" xfId="26"/>
    <cellStyle name="xl24" xfId="27"/>
    <cellStyle name="xl25" xfId="28"/>
    <cellStyle name="xl26" xfId="29"/>
    <cellStyle name="xl27" xfId="30"/>
    <cellStyle name="xl28" xfId="31"/>
    <cellStyle name="xl29" xfId="32"/>
    <cellStyle name="xl29 2" xfId="33"/>
    <cellStyle name="xl30" xfId="34"/>
    <cellStyle name="xl31" xfId="35"/>
    <cellStyle name="xl32" xfId="36"/>
    <cellStyle name="xl33" xfId="37"/>
    <cellStyle name="xl34" xfId="38"/>
    <cellStyle name="xl35" xfId="39"/>
    <cellStyle name="xl36" xfId="40"/>
    <cellStyle name="xl37" xfId="41"/>
    <cellStyle name="xl38" xfId="42"/>
    <cellStyle name="xl38 2" xfId="43"/>
    <cellStyle name="xl39" xfId="44"/>
    <cellStyle name="Акцент1" xfId="45" builtinId="29" customBuiltin="1"/>
    <cellStyle name="Акцент1 2" xfId="46"/>
    <cellStyle name="Акцент2" xfId="47" builtinId="33" customBuiltin="1"/>
    <cellStyle name="Акцент2 2" xfId="48"/>
    <cellStyle name="Акцент3" xfId="49" builtinId="37" customBuiltin="1"/>
    <cellStyle name="Акцент3 2" xfId="50"/>
    <cellStyle name="Акцент4" xfId="51" builtinId="41" customBuiltin="1"/>
    <cellStyle name="Акцент4 2" xfId="52"/>
    <cellStyle name="Акцент5" xfId="53" builtinId="45" customBuiltin="1"/>
    <cellStyle name="Акцент5 2" xfId="54"/>
    <cellStyle name="Акцент6" xfId="55" builtinId="49" customBuiltin="1"/>
    <cellStyle name="Акцент6 2" xfId="56"/>
    <cellStyle name="Ввод " xfId="57" builtinId="20" customBuiltin="1"/>
    <cellStyle name="Ввод  2" xfId="58"/>
    <cellStyle name="Вывод" xfId="59" builtinId="21" customBuiltin="1"/>
    <cellStyle name="Вывод 2" xfId="60"/>
    <cellStyle name="Вычисление" xfId="61" builtinId="22" customBuiltin="1"/>
    <cellStyle name="Вычисление 2" xfId="62"/>
    <cellStyle name="Денежный 2" xfId="63"/>
    <cellStyle name="Заголовок 1" xfId="64" builtinId="16" customBuiltin="1"/>
    <cellStyle name="Заголовок 1 2" xfId="65"/>
    <cellStyle name="Заголовок 2" xfId="66" builtinId="17" customBuiltin="1"/>
    <cellStyle name="Заголовок 2 2" xfId="67"/>
    <cellStyle name="Заголовок 3" xfId="68" builtinId="18" customBuiltin="1"/>
    <cellStyle name="Заголовок 3 2" xfId="69"/>
    <cellStyle name="Заголовок 4" xfId="70" builtinId="19" customBuiltin="1"/>
    <cellStyle name="Заголовок 4 2" xfId="71"/>
    <cellStyle name="Итог" xfId="72" builtinId="25" customBuiltin="1"/>
    <cellStyle name="Итог 2" xfId="73"/>
    <cellStyle name="Контрольная ячейка" xfId="74" builtinId="23" customBuiltin="1"/>
    <cellStyle name="Контрольная ячейка 2" xfId="75"/>
    <cellStyle name="Название" xfId="76" builtinId="15" customBuiltin="1"/>
    <cellStyle name="Название 2" xfId="77"/>
    <cellStyle name="Нейтральный" xfId="78" builtinId="28" customBuiltin="1"/>
    <cellStyle name="Нейтральный 2" xfId="79"/>
    <cellStyle name="Обычный" xfId="0" builtinId="0"/>
    <cellStyle name="Обычный 2" xfId="80"/>
    <cellStyle name="Обычный 2 2" xfId="81"/>
    <cellStyle name="Обычный 2 2 2" xfId="112"/>
    <cellStyle name="Обычный 3" xfId="82"/>
    <cellStyle name="Обычный 4" xfId="83"/>
    <cellStyle name="Обычный 5" xfId="84"/>
    <cellStyle name="Обычный 6" xfId="85"/>
    <cellStyle name="Обычный 7" xfId="86"/>
    <cellStyle name="Обычный 8" xfId="87"/>
    <cellStyle name="Обычный 9" xfId="88"/>
    <cellStyle name="Обычный_прил к решению СД за 1квартал2007г" xfId="89"/>
    <cellStyle name="Обычный_Прил от 23.12.05г." xfId="90"/>
    <cellStyle name="Обычный_Прил от 23.12.05г. 2" xfId="91"/>
    <cellStyle name="Обычный_Прил от 23.12.05г. 2 2" xfId="114"/>
    <cellStyle name="Обычный_прил.от  29.11.07" xfId="92"/>
    <cellStyle name="Обычный_приложение -нормативы отчислений на 2007 год 2" xfId="93"/>
    <cellStyle name="Обычный_свод" xfId="94"/>
    <cellStyle name="Обычный_СД-прил 1-7(2008)" xfId="95"/>
    <cellStyle name="Плохой" xfId="96" builtinId="27" customBuiltin="1"/>
    <cellStyle name="Плохой 2" xfId="97"/>
    <cellStyle name="Пояснение" xfId="98" builtinId="53" customBuiltin="1"/>
    <cellStyle name="Пояснение 2" xfId="99"/>
    <cellStyle name="Примечание" xfId="100" builtinId="10" customBuiltin="1"/>
    <cellStyle name="Примечание 2" xfId="101"/>
    <cellStyle name="Связанная ячейка" xfId="102" builtinId="24" customBuiltin="1"/>
    <cellStyle name="Связанная ячейка 2" xfId="103"/>
    <cellStyle name="Текст предупреждения" xfId="104" builtinId="11" customBuiltin="1"/>
    <cellStyle name="Текст предупреждения 2" xfId="105"/>
    <cellStyle name="Тысячи [0]_Лист1" xfId="106"/>
    <cellStyle name="Тысячи_Лист1" xfId="107"/>
    <cellStyle name="Финансовый 2" xfId="108"/>
    <cellStyle name="Финансовый 2 2" xfId="109"/>
    <cellStyle name="Финансовый 2 2 2" xfId="113"/>
    <cellStyle name="Хороший" xfId="110" builtinId="26" customBuiltin="1"/>
    <cellStyle name="Хороший 2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0</xdr:rowOff>
    </xdr:from>
    <xdr:to>
      <xdr:col>2</xdr:col>
      <xdr:colOff>38100</xdr:colOff>
      <xdr:row>1</xdr:row>
      <xdr:rowOff>485775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0"/>
          <a:ext cx="88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5\C\&#1052;&#1086;&#1080;%20&#1076;&#1086;&#1082;&#1091;&#1084;&#1077;&#1085;&#1090;&#1099;\&#1088;&#1086;&#1089;&#1087;&#1080;&#1089;&#1100;%202002\&#1050;&#1085;&#1080;&#1075;&#1072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&#1056;&#1060;&#1059;\Downloads\&#1041;&#1072;&#1103;&#1088;&#1084;&#1072;\Downloads\&#1044;&#1086;&#1093;&#1086;&#1076;&#1099;%20&#1080;&#1079;&#1084;&#1077;&#1085;&#1077;&#1085;&#1080;&#1077;%20&#1072;&#1087;&#1088;&#1077;&#1083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2\&#1052;&#1086;&#1080;%20&#1076;&#1086;&#1082;&#1091;&#1084;&#1077;&#1085;&#1090;&#1099;%20(bud22)\&#1052;&#1086;&#1080;%20&#1076;&#1086;&#1082;&#1091;&#1084;&#1077;&#1085;&#1090;&#1099;%20(bud22)\&#1073;&#1102;&#1076;&#1078;&#1077;&#1090;%202016&#1075;\&#1088;&#1077;&#1096;&#1077;&#1085;&#1080;&#1103;%20&#1087;&#1086;%20&#1073;&#1102;&#1076;&#1078;&#1077;&#1090;&#1091;\&#1074;&#1085;&#1077;&#1089;&#1077;&#1085;&#1080;&#1077;%20&#1080;&#1079;&#1084;&#1077;&#1085;&#1077;&#1085;&#1080;&#1081;\&#1074;&#1085;&#1077;&#1089;%20&#1080;&#1079;&#1084;%20&#1089;&#1077;&#1085;&#1090;&#1103;&#1073;&#1088;&#1100;%202016\&#1087;&#1088;&#1080;&#1083;.%20&#1080;&#1079;&#1084;.%20&#1089;&#1077;&#1085;&#1090;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40;&#1064;&#1040;%202%20&#1082;&#1086;&#1084;&#1087;\Pub\&#1044;&#1053;&#1040;\&#1041;&#1070;&#1044;&#1046;&#1045;&#1058;%202021\&#1060;&#1080;&#1085;&#1072;&#1085;&#1089;&#1080;&#1088;%20&#1056;&#1041;%202021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раздел"/>
      <sheetName val="Лист6"/>
      <sheetName val="Лист5"/>
      <sheetName val="Лист1"/>
      <sheetName val="Лист8"/>
      <sheetName val="Лист9"/>
      <sheetName val="Лист7"/>
      <sheetName val="Лист3"/>
      <sheetName val="Лист2"/>
      <sheetName val="17 раздел"/>
      <sheetName val="14 раздел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4 доходы 2021"/>
    </sheetNames>
    <sheetDataSet>
      <sheetData sheetId="0">
        <row r="8">
          <cell r="I8">
            <v>82291.180000000008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"/>
      <sheetName val="прил 2"/>
      <sheetName val="прил 3"/>
      <sheetName val=" прил 4 "/>
      <sheetName val="прил 5 доходы"/>
      <sheetName val="безвоз пр.6"/>
      <sheetName val="Функц. пр.7"/>
      <sheetName val="ведом пр.8"/>
      <sheetName val="мп пр.9"/>
      <sheetName val="пно пр.10 убрать"/>
      <sheetName val="ист.прил11"/>
      <sheetName val="прил.13 мун долг"/>
      <sheetName val="прил.14 мун долг "/>
      <sheetName val="16.1.1"/>
      <sheetName val="16.2.1 "/>
      <sheetName val="16.2.2 "/>
      <sheetName val="16.2.3 "/>
      <sheetName val="16.2.4"/>
      <sheetName val="16.2.5"/>
      <sheetName val="16.2.6"/>
      <sheetName val="16.2.7"/>
      <sheetName val="16.2.8"/>
      <sheetName val="16.2.9"/>
      <sheetName val="16.2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воз утв на 2021"/>
      <sheetName val="безвоз на 01.02.2021"/>
      <sheetName val="безвоз на 01.03.2021"/>
      <sheetName val="безвоз на 01.04.2021"/>
      <sheetName val="безвоз на 01.05.2021"/>
      <sheetName val="безвоз на 01.06.2021"/>
      <sheetName val="Лист1"/>
      <sheetName val="передан полн утв"/>
    </sheetNames>
    <sheetDataSet>
      <sheetData sheetId="0" refreshError="1"/>
      <sheetData sheetId="1" refreshError="1"/>
      <sheetData sheetId="2" refreshError="1">
        <row r="292">
          <cell r="F292">
            <v>503134.22333999997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20"/>
  <sheetViews>
    <sheetView workbookViewId="0">
      <selection activeCell="A15" sqref="A15"/>
    </sheetView>
  </sheetViews>
  <sheetFormatPr defaultRowHeight="12.75" x14ac:dyDescent="0.2"/>
  <cols>
    <col min="1" max="1" width="39.42578125" customWidth="1"/>
    <col min="2" max="2" width="17.7109375" customWidth="1"/>
    <col min="3" max="3" width="16.5703125" customWidth="1"/>
    <col min="4" max="4" width="18.85546875" customWidth="1"/>
    <col min="257" max="257" width="39.42578125" customWidth="1"/>
    <col min="258" max="258" width="17.7109375" customWidth="1"/>
    <col min="259" max="259" width="16.5703125" customWidth="1"/>
    <col min="260" max="260" width="18.85546875" customWidth="1"/>
    <col min="513" max="513" width="39.42578125" customWidth="1"/>
    <col min="514" max="514" width="17.7109375" customWidth="1"/>
    <col min="515" max="515" width="16.5703125" customWidth="1"/>
    <col min="516" max="516" width="18.85546875" customWidth="1"/>
    <col min="769" max="769" width="39.42578125" customWidth="1"/>
    <col min="770" max="770" width="17.7109375" customWidth="1"/>
    <col min="771" max="771" width="16.5703125" customWidth="1"/>
    <col min="772" max="772" width="18.85546875" customWidth="1"/>
    <col min="1025" max="1025" width="39.42578125" customWidth="1"/>
    <col min="1026" max="1026" width="17.7109375" customWidth="1"/>
    <col min="1027" max="1027" width="16.5703125" customWidth="1"/>
    <col min="1028" max="1028" width="18.85546875" customWidth="1"/>
    <col min="1281" max="1281" width="39.42578125" customWidth="1"/>
    <col min="1282" max="1282" width="17.7109375" customWidth="1"/>
    <col min="1283" max="1283" width="16.5703125" customWidth="1"/>
    <col min="1284" max="1284" width="18.85546875" customWidth="1"/>
    <col min="1537" max="1537" width="39.42578125" customWidth="1"/>
    <col min="1538" max="1538" width="17.7109375" customWidth="1"/>
    <col min="1539" max="1539" width="16.5703125" customWidth="1"/>
    <col min="1540" max="1540" width="18.85546875" customWidth="1"/>
    <col min="1793" max="1793" width="39.42578125" customWidth="1"/>
    <col min="1794" max="1794" width="17.7109375" customWidth="1"/>
    <col min="1795" max="1795" width="16.5703125" customWidth="1"/>
    <col min="1796" max="1796" width="18.85546875" customWidth="1"/>
    <col min="2049" max="2049" width="39.42578125" customWidth="1"/>
    <col min="2050" max="2050" width="17.7109375" customWidth="1"/>
    <col min="2051" max="2051" width="16.5703125" customWidth="1"/>
    <col min="2052" max="2052" width="18.85546875" customWidth="1"/>
    <col min="2305" max="2305" width="39.42578125" customWidth="1"/>
    <col min="2306" max="2306" width="17.7109375" customWidth="1"/>
    <col min="2307" max="2307" width="16.5703125" customWidth="1"/>
    <col min="2308" max="2308" width="18.85546875" customWidth="1"/>
    <col min="2561" max="2561" width="39.42578125" customWidth="1"/>
    <col min="2562" max="2562" width="17.7109375" customWidth="1"/>
    <col min="2563" max="2563" width="16.5703125" customWidth="1"/>
    <col min="2564" max="2564" width="18.85546875" customWidth="1"/>
    <col min="2817" max="2817" width="39.42578125" customWidth="1"/>
    <col min="2818" max="2818" width="17.7109375" customWidth="1"/>
    <col min="2819" max="2819" width="16.5703125" customWidth="1"/>
    <col min="2820" max="2820" width="18.85546875" customWidth="1"/>
    <col min="3073" max="3073" width="39.42578125" customWidth="1"/>
    <col min="3074" max="3074" width="17.7109375" customWidth="1"/>
    <col min="3075" max="3075" width="16.5703125" customWidth="1"/>
    <col min="3076" max="3076" width="18.85546875" customWidth="1"/>
    <col min="3329" max="3329" width="39.42578125" customWidth="1"/>
    <col min="3330" max="3330" width="17.7109375" customWidth="1"/>
    <col min="3331" max="3331" width="16.5703125" customWidth="1"/>
    <col min="3332" max="3332" width="18.85546875" customWidth="1"/>
    <col min="3585" max="3585" width="39.42578125" customWidth="1"/>
    <col min="3586" max="3586" width="17.7109375" customWidth="1"/>
    <col min="3587" max="3587" width="16.5703125" customWidth="1"/>
    <col min="3588" max="3588" width="18.85546875" customWidth="1"/>
    <col min="3841" max="3841" width="39.42578125" customWidth="1"/>
    <col min="3842" max="3842" width="17.7109375" customWidth="1"/>
    <col min="3843" max="3843" width="16.5703125" customWidth="1"/>
    <col min="3844" max="3844" width="18.85546875" customWidth="1"/>
    <col min="4097" max="4097" width="39.42578125" customWidth="1"/>
    <col min="4098" max="4098" width="17.7109375" customWidth="1"/>
    <col min="4099" max="4099" width="16.5703125" customWidth="1"/>
    <col min="4100" max="4100" width="18.85546875" customWidth="1"/>
    <col min="4353" max="4353" width="39.42578125" customWidth="1"/>
    <col min="4354" max="4354" width="17.7109375" customWidth="1"/>
    <col min="4355" max="4355" width="16.5703125" customWidth="1"/>
    <col min="4356" max="4356" width="18.85546875" customWidth="1"/>
    <col min="4609" max="4609" width="39.42578125" customWidth="1"/>
    <col min="4610" max="4610" width="17.7109375" customWidth="1"/>
    <col min="4611" max="4611" width="16.5703125" customWidth="1"/>
    <col min="4612" max="4612" width="18.85546875" customWidth="1"/>
    <col min="4865" max="4865" width="39.42578125" customWidth="1"/>
    <col min="4866" max="4866" width="17.7109375" customWidth="1"/>
    <col min="4867" max="4867" width="16.5703125" customWidth="1"/>
    <col min="4868" max="4868" width="18.85546875" customWidth="1"/>
    <col min="5121" max="5121" width="39.42578125" customWidth="1"/>
    <col min="5122" max="5122" width="17.7109375" customWidth="1"/>
    <col min="5123" max="5123" width="16.5703125" customWidth="1"/>
    <col min="5124" max="5124" width="18.85546875" customWidth="1"/>
    <col min="5377" max="5377" width="39.42578125" customWidth="1"/>
    <col min="5378" max="5378" width="17.7109375" customWidth="1"/>
    <col min="5379" max="5379" width="16.5703125" customWidth="1"/>
    <col min="5380" max="5380" width="18.85546875" customWidth="1"/>
    <col min="5633" max="5633" width="39.42578125" customWidth="1"/>
    <col min="5634" max="5634" width="17.7109375" customWidth="1"/>
    <col min="5635" max="5635" width="16.5703125" customWidth="1"/>
    <col min="5636" max="5636" width="18.85546875" customWidth="1"/>
    <col min="5889" max="5889" width="39.42578125" customWidth="1"/>
    <col min="5890" max="5890" width="17.7109375" customWidth="1"/>
    <col min="5891" max="5891" width="16.5703125" customWidth="1"/>
    <col min="5892" max="5892" width="18.85546875" customWidth="1"/>
    <col min="6145" max="6145" width="39.42578125" customWidth="1"/>
    <col min="6146" max="6146" width="17.7109375" customWidth="1"/>
    <col min="6147" max="6147" width="16.5703125" customWidth="1"/>
    <col min="6148" max="6148" width="18.85546875" customWidth="1"/>
    <col min="6401" max="6401" width="39.42578125" customWidth="1"/>
    <col min="6402" max="6402" width="17.7109375" customWidth="1"/>
    <col min="6403" max="6403" width="16.5703125" customWidth="1"/>
    <col min="6404" max="6404" width="18.85546875" customWidth="1"/>
    <col min="6657" max="6657" width="39.42578125" customWidth="1"/>
    <col min="6658" max="6658" width="17.7109375" customWidth="1"/>
    <col min="6659" max="6659" width="16.5703125" customWidth="1"/>
    <col min="6660" max="6660" width="18.85546875" customWidth="1"/>
    <col min="6913" max="6913" width="39.42578125" customWidth="1"/>
    <col min="6914" max="6914" width="17.7109375" customWidth="1"/>
    <col min="6915" max="6915" width="16.5703125" customWidth="1"/>
    <col min="6916" max="6916" width="18.85546875" customWidth="1"/>
    <col min="7169" max="7169" width="39.42578125" customWidth="1"/>
    <col min="7170" max="7170" width="17.7109375" customWidth="1"/>
    <col min="7171" max="7171" width="16.5703125" customWidth="1"/>
    <col min="7172" max="7172" width="18.85546875" customWidth="1"/>
    <col min="7425" max="7425" width="39.42578125" customWidth="1"/>
    <col min="7426" max="7426" width="17.7109375" customWidth="1"/>
    <col min="7427" max="7427" width="16.5703125" customWidth="1"/>
    <col min="7428" max="7428" width="18.85546875" customWidth="1"/>
    <col min="7681" max="7681" width="39.42578125" customWidth="1"/>
    <col min="7682" max="7682" width="17.7109375" customWidth="1"/>
    <col min="7683" max="7683" width="16.5703125" customWidth="1"/>
    <col min="7684" max="7684" width="18.85546875" customWidth="1"/>
    <col min="7937" max="7937" width="39.42578125" customWidth="1"/>
    <col min="7938" max="7938" width="17.7109375" customWidth="1"/>
    <col min="7939" max="7939" width="16.5703125" customWidth="1"/>
    <col min="7940" max="7940" width="18.85546875" customWidth="1"/>
    <col min="8193" max="8193" width="39.42578125" customWidth="1"/>
    <col min="8194" max="8194" width="17.7109375" customWidth="1"/>
    <col min="8195" max="8195" width="16.5703125" customWidth="1"/>
    <col min="8196" max="8196" width="18.85546875" customWidth="1"/>
    <col min="8449" max="8449" width="39.42578125" customWidth="1"/>
    <col min="8450" max="8450" width="17.7109375" customWidth="1"/>
    <col min="8451" max="8451" width="16.5703125" customWidth="1"/>
    <col min="8452" max="8452" width="18.85546875" customWidth="1"/>
    <col min="8705" max="8705" width="39.42578125" customWidth="1"/>
    <col min="8706" max="8706" width="17.7109375" customWidth="1"/>
    <col min="8707" max="8707" width="16.5703125" customWidth="1"/>
    <col min="8708" max="8708" width="18.85546875" customWidth="1"/>
    <col min="8961" max="8961" width="39.42578125" customWidth="1"/>
    <col min="8962" max="8962" width="17.7109375" customWidth="1"/>
    <col min="8963" max="8963" width="16.5703125" customWidth="1"/>
    <col min="8964" max="8964" width="18.85546875" customWidth="1"/>
    <col min="9217" max="9217" width="39.42578125" customWidth="1"/>
    <col min="9218" max="9218" width="17.7109375" customWidth="1"/>
    <col min="9219" max="9219" width="16.5703125" customWidth="1"/>
    <col min="9220" max="9220" width="18.85546875" customWidth="1"/>
    <col min="9473" max="9473" width="39.42578125" customWidth="1"/>
    <col min="9474" max="9474" width="17.7109375" customWidth="1"/>
    <col min="9475" max="9475" width="16.5703125" customWidth="1"/>
    <col min="9476" max="9476" width="18.85546875" customWidth="1"/>
    <col min="9729" max="9729" width="39.42578125" customWidth="1"/>
    <col min="9730" max="9730" width="17.7109375" customWidth="1"/>
    <col min="9731" max="9731" width="16.5703125" customWidth="1"/>
    <col min="9732" max="9732" width="18.85546875" customWidth="1"/>
    <col min="9985" max="9985" width="39.42578125" customWidth="1"/>
    <col min="9986" max="9986" width="17.7109375" customWidth="1"/>
    <col min="9987" max="9987" width="16.5703125" customWidth="1"/>
    <col min="9988" max="9988" width="18.85546875" customWidth="1"/>
    <col min="10241" max="10241" width="39.42578125" customWidth="1"/>
    <col min="10242" max="10242" width="17.7109375" customWidth="1"/>
    <col min="10243" max="10243" width="16.5703125" customWidth="1"/>
    <col min="10244" max="10244" width="18.85546875" customWidth="1"/>
    <col min="10497" max="10497" width="39.42578125" customWidth="1"/>
    <col min="10498" max="10498" width="17.7109375" customWidth="1"/>
    <col min="10499" max="10499" width="16.5703125" customWidth="1"/>
    <col min="10500" max="10500" width="18.85546875" customWidth="1"/>
    <col min="10753" max="10753" width="39.42578125" customWidth="1"/>
    <col min="10754" max="10754" width="17.7109375" customWidth="1"/>
    <col min="10755" max="10755" width="16.5703125" customWidth="1"/>
    <col min="10756" max="10756" width="18.85546875" customWidth="1"/>
    <col min="11009" max="11009" width="39.42578125" customWidth="1"/>
    <col min="11010" max="11010" width="17.7109375" customWidth="1"/>
    <col min="11011" max="11011" width="16.5703125" customWidth="1"/>
    <col min="11012" max="11012" width="18.85546875" customWidth="1"/>
    <col min="11265" max="11265" width="39.42578125" customWidth="1"/>
    <col min="11266" max="11266" width="17.7109375" customWidth="1"/>
    <col min="11267" max="11267" width="16.5703125" customWidth="1"/>
    <col min="11268" max="11268" width="18.85546875" customWidth="1"/>
    <col min="11521" max="11521" width="39.42578125" customWidth="1"/>
    <col min="11522" max="11522" width="17.7109375" customWidth="1"/>
    <col min="11523" max="11523" width="16.5703125" customWidth="1"/>
    <col min="11524" max="11524" width="18.85546875" customWidth="1"/>
    <col min="11777" max="11777" width="39.42578125" customWidth="1"/>
    <col min="11778" max="11778" width="17.7109375" customWidth="1"/>
    <col min="11779" max="11779" width="16.5703125" customWidth="1"/>
    <col min="11780" max="11780" width="18.85546875" customWidth="1"/>
    <col min="12033" max="12033" width="39.42578125" customWidth="1"/>
    <col min="12034" max="12034" width="17.7109375" customWidth="1"/>
    <col min="12035" max="12035" width="16.5703125" customWidth="1"/>
    <col min="12036" max="12036" width="18.85546875" customWidth="1"/>
    <col min="12289" max="12289" width="39.42578125" customWidth="1"/>
    <col min="12290" max="12290" width="17.7109375" customWidth="1"/>
    <col min="12291" max="12291" width="16.5703125" customWidth="1"/>
    <col min="12292" max="12292" width="18.85546875" customWidth="1"/>
    <col min="12545" max="12545" width="39.42578125" customWidth="1"/>
    <col min="12546" max="12546" width="17.7109375" customWidth="1"/>
    <col min="12547" max="12547" width="16.5703125" customWidth="1"/>
    <col min="12548" max="12548" width="18.85546875" customWidth="1"/>
    <col min="12801" max="12801" width="39.42578125" customWidth="1"/>
    <col min="12802" max="12802" width="17.7109375" customWidth="1"/>
    <col min="12803" max="12803" width="16.5703125" customWidth="1"/>
    <col min="12804" max="12804" width="18.85546875" customWidth="1"/>
    <col min="13057" max="13057" width="39.42578125" customWidth="1"/>
    <col min="13058" max="13058" width="17.7109375" customWidth="1"/>
    <col min="13059" max="13059" width="16.5703125" customWidth="1"/>
    <col min="13060" max="13060" width="18.85546875" customWidth="1"/>
    <col min="13313" max="13313" width="39.42578125" customWidth="1"/>
    <col min="13314" max="13314" width="17.7109375" customWidth="1"/>
    <col min="13315" max="13315" width="16.5703125" customWidth="1"/>
    <col min="13316" max="13316" width="18.85546875" customWidth="1"/>
    <col min="13569" max="13569" width="39.42578125" customWidth="1"/>
    <col min="13570" max="13570" width="17.7109375" customWidth="1"/>
    <col min="13571" max="13571" width="16.5703125" customWidth="1"/>
    <col min="13572" max="13572" width="18.85546875" customWidth="1"/>
    <col min="13825" max="13825" width="39.42578125" customWidth="1"/>
    <col min="13826" max="13826" width="17.7109375" customWidth="1"/>
    <col min="13827" max="13827" width="16.5703125" customWidth="1"/>
    <col min="13828" max="13828" width="18.85546875" customWidth="1"/>
    <col min="14081" max="14081" width="39.42578125" customWidth="1"/>
    <col min="14082" max="14082" width="17.7109375" customWidth="1"/>
    <col min="14083" max="14083" width="16.5703125" customWidth="1"/>
    <col min="14084" max="14084" width="18.85546875" customWidth="1"/>
    <col min="14337" max="14337" width="39.42578125" customWidth="1"/>
    <col min="14338" max="14338" width="17.7109375" customWidth="1"/>
    <col min="14339" max="14339" width="16.5703125" customWidth="1"/>
    <col min="14340" max="14340" width="18.85546875" customWidth="1"/>
    <col min="14593" max="14593" width="39.42578125" customWidth="1"/>
    <col min="14594" max="14594" width="17.7109375" customWidth="1"/>
    <col min="14595" max="14595" width="16.5703125" customWidth="1"/>
    <col min="14596" max="14596" width="18.85546875" customWidth="1"/>
    <col min="14849" max="14849" width="39.42578125" customWidth="1"/>
    <col min="14850" max="14850" width="17.7109375" customWidth="1"/>
    <col min="14851" max="14851" width="16.5703125" customWidth="1"/>
    <col min="14852" max="14852" width="18.85546875" customWidth="1"/>
    <col min="15105" max="15105" width="39.42578125" customWidth="1"/>
    <col min="15106" max="15106" width="17.7109375" customWidth="1"/>
    <col min="15107" max="15107" width="16.5703125" customWidth="1"/>
    <col min="15108" max="15108" width="18.85546875" customWidth="1"/>
    <col min="15361" max="15361" width="39.42578125" customWidth="1"/>
    <col min="15362" max="15362" width="17.7109375" customWidth="1"/>
    <col min="15363" max="15363" width="16.5703125" customWidth="1"/>
    <col min="15364" max="15364" width="18.85546875" customWidth="1"/>
    <col min="15617" max="15617" width="39.42578125" customWidth="1"/>
    <col min="15618" max="15618" width="17.7109375" customWidth="1"/>
    <col min="15619" max="15619" width="16.5703125" customWidth="1"/>
    <col min="15620" max="15620" width="18.85546875" customWidth="1"/>
    <col min="15873" max="15873" width="39.42578125" customWidth="1"/>
    <col min="15874" max="15874" width="17.7109375" customWidth="1"/>
    <col min="15875" max="15875" width="16.5703125" customWidth="1"/>
    <col min="15876" max="15876" width="18.85546875" customWidth="1"/>
    <col min="16129" max="16129" width="39.42578125" customWidth="1"/>
    <col min="16130" max="16130" width="17.7109375" customWidth="1"/>
    <col min="16131" max="16131" width="16.5703125" customWidth="1"/>
    <col min="16132" max="16132" width="18.85546875" customWidth="1"/>
  </cols>
  <sheetData>
    <row r="1" spans="1:4" ht="39.75" customHeight="1" x14ac:dyDescent="0.2">
      <c r="A1" s="755" t="s">
        <v>2040</v>
      </c>
      <c r="B1" s="723"/>
      <c r="C1" s="755" t="s">
        <v>2041</v>
      </c>
      <c r="D1" s="755"/>
    </row>
    <row r="2" spans="1:4" ht="41.25" customHeight="1" thickBot="1" x14ac:dyDescent="0.25">
      <c r="A2" s="756"/>
      <c r="B2" s="724"/>
      <c r="C2" s="756" t="s">
        <v>2042</v>
      </c>
      <c r="D2" s="756"/>
    </row>
    <row r="3" spans="1:4" ht="16.5" thickTop="1" x14ac:dyDescent="0.2">
      <c r="A3" s="725"/>
      <c r="B3" s="726"/>
      <c r="C3" s="726"/>
      <c r="D3" s="726"/>
    </row>
    <row r="4" spans="1:4" ht="15.75" x14ac:dyDescent="0.25">
      <c r="A4" s="727" t="s">
        <v>2043</v>
      </c>
      <c r="B4" s="728"/>
      <c r="C4" s="728"/>
      <c r="D4" s="728"/>
    </row>
    <row r="5" spans="1:4" ht="16.5" x14ac:dyDescent="0.25">
      <c r="A5" s="727" t="s">
        <v>2044</v>
      </c>
      <c r="B5" s="729"/>
      <c r="C5" s="730"/>
      <c r="D5" s="728"/>
    </row>
    <row r="6" spans="1:4" ht="15.75" x14ac:dyDescent="0.25">
      <c r="A6" s="727" t="s">
        <v>2045</v>
      </c>
      <c r="B6" s="728"/>
      <c r="C6" s="728"/>
      <c r="D6" s="728"/>
    </row>
    <row r="7" spans="1:4" ht="15.75" x14ac:dyDescent="0.25">
      <c r="A7" s="731" t="s">
        <v>2046</v>
      </c>
      <c r="B7" s="728"/>
      <c r="C7" s="728"/>
      <c r="D7" s="728"/>
    </row>
    <row r="8" spans="1:4" ht="15.75" x14ac:dyDescent="0.25">
      <c r="A8" s="727" t="s">
        <v>2050</v>
      </c>
      <c r="B8" s="728"/>
      <c r="C8" s="728"/>
      <c r="D8" s="728"/>
    </row>
    <row r="9" spans="1:4" ht="15.75" x14ac:dyDescent="0.25">
      <c r="A9" s="732"/>
      <c r="B9" s="732"/>
      <c r="C9" s="732"/>
      <c r="D9" s="732"/>
    </row>
    <row r="10" spans="1:4" ht="15.75" x14ac:dyDescent="0.25">
      <c r="A10" s="733"/>
      <c r="B10" s="733"/>
      <c r="C10" s="733"/>
      <c r="D10" s="733"/>
    </row>
    <row r="11" spans="1:4" ht="15.75" x14ac:dyDescent="0.25">
      <c r="A11" s="733"/>
      <c r="B11" s="733"/>
      <c r="C11" s="733"/>
      <c r="D11" s="733"/>
    </row>
    <row r="12" spans="1:4" ht="53.25" customHeight="1" x14ac:dyDescent="0.2">
      <c r="A12" s="757" t="s">
        <v>2047</v>
      </c>
      <c r="B12" s="757"/>
      <c r="C12" s="757"/>
      <c r="D12" s="757"/>
    </row>
    <row r="13" spans="1:4" ht="15.75" x14ac:dyDescent="0.25">
      <c r="A13" s="733"/>
      <c r="B13" s="733"/>
      <c r="C13" s="733"/>
      <c r="D13" s="733"/>
    </row>
    <row r="14" spans="1:4" ht="15.75" x14ac:dyDescent="0.25">
      <c r="A14" s="734" t="s">
        <v>2052</v>
      </c>
      <c r="B14" s="733"/>
      <c r="C14" s="733"/>
      <c r="D14" s="733"/>
    </row>
    <row r="15" spans="1:4" ht="15.75" x14ac:dyDescent="0.25">
      <c r="A15" s="733"/>
      <c r="B15" s="733"/>
      <c r="C15" s="733"/>
      <c r="D15" s="733"/>
    </row>
    <row r="16" spans="1:4" ht="15.75" x14ac:dyDescent="0.25">
      <c r="A16" s="733"/>
      <c r="B16" s="733"/>
      <c r="C16" s="733"/>
      <c r="D16" s="733"/>
    </row>
    <row r="17" spans="1:4" ht="15.75" x14ac:dyDescent="0.25">
      <c r="A17" s="733"/>
      <c r="B17" s="733"/>
      <c r="C17" s="733"/>
      <c r="D17" s="733"/>
    </row>
    <row r="18" spans="1:4" ht="15.75" x14ac:dyDescent="0.25">
      <c r="A18" s="733"/>
      <c r="B18" s="733"/>
      <c r="C18" s="733"/>
      <c r="D18" s="733"/>
    </row>
    <row r="19" spans="1:4" ht="15.75" x14ac:dyDescent="0.25">
      <c r="A19" s="733"/>
      <c r="B19" s="733"/>
      <c r="C19" s="733"/>
      <c r="D19" s="733"/>
    </row>
    <row r="20" spans="1:4" ht="43.5" customHeight="1" x14ac:dyDescent="0.2">
      <c r="A20" s="735" t="s">
        <v>2048</v>
      </c>
      <c r="B20" s="736"/>
      <c r="C20" s="736"/>
      <c r="D20" s="736" t="s">
        <v>2049</v>
      </c>
    </row>
  </sheetData>
  <mergeCells count="4">
    <mergeCell ref="A1:A2"/>
    <mergeCell ref="C1:D1"/>
    <mergeCell ref="C2:D2"/>
    <mergeCell ref="A12:D12"/>
  </mergeCells>
  <pageMargins left="0.73" right="0.2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70C0"/>
    <pageSetUpPr fitToPage="1"/>
  </sheetPr>
  <dimension ref="A1:J137"/>
  <sheetViews>
    <sheetView view="pageBreakPreview" zoomScale="85" zoomScaleNormal="95" zoomScaleSheetLayoutView="85" workbookViewId="0">
      <selection activeCell="D6" sqref="D6"/>
    </sheetView>
  </sheetViews>
  <sheetFormatPr defaultColWidth="8" defaultRowHeight="12.75" x14ac:dyDescent="0.2"/>
  <cols>
    <col min="1" max="1" width="24.42578125" style="79" customWidth="1"/>
    <col min="2" max="2" width="74.85546875" style="78" customWidth="1"/>
    <col min="3" max="3" width="17.85546875" style="477" hidden="1" customWidth="1"/>
    <col min="4" max="4" width="17.28515625" style="477" customWidth="1"/>
    <col min="5" max="5" width="13" style="64" customWidth="1"/>
    <col min="6" max="6" width="8" style="64"/>
    <col min="7" max="7" width="13" style="64" customWidth="1"/>
    <col min="8" max="16384" width="8" style="64"/>
  </cols>
  <sheetData>
    <row r="1" spans="1:10" s="61" customFormat="1" ht="15" customHeight="1" x14ac:dyDescent="0.25">
      <c r="C1" s="202"/>
      <c r="D1" s="202" t="s">
        <v>956</v>
      </c>
    </row>
    <row r="2" spans="1:10" s="61" customFormat="1" ht="15.75" customHeight="1" x14ac:dyDescent="0.2">
      <c r="A2" s="78"/>
      <c r="B2" s="161"/>
      <c r="C2" s="161"/>
      <c r="D2" s="161"/>
    </row>
    <row r="3" spans="1:10" s="61" customFormat="1" ht="15" x14ac:dyDescent="0.25">
      <c r="A3" s="758" t="s">
        <v>1842</v>
      </c>
      <c r="B3" s="758"/>
      <c r="C3" s="758"/>
      <c r="D3" s="758"/>
    </row>
    <row r="4" spans="1:10" s="61" customFormat="1" x14ac:dyDescent="0.2">
      <c r="A4" s="78"/>
      <c r="B4" s="78"/>
      <c r="C4" s="62"/>
      <c r="D4" s="62"/>
    </row>
    <row r="5" spans="1:10" s="63" customFormat="1" ht="30.75" customHeight="1" x14ac:dyDescent="0.2">
      <c r="A5" s="98" t="s">
        <v>1624</v>
      </c>
      <c r="B5" s="638" t="s">
        <v>91</v>
      </c>
      <c r="C5" s="639" t="s">
        <v>1981</v>
      </c>
      <c r="D5" s="639" t="s">
        <v>2051</v>
      </c>
      <c r="E5" s="64">
        <v>2479.3995300000001</v>
      </c>
      <c r="I5" s="227" t="e">
        <f>D6-#REF!</f>
        <v>#REF!</v>
      </c>
      <c r="J5" s="227" t="e">
        <f>#REF!+#REF!+#REF!+#REF!+#REF!+#REF!+#REF!+#REF!</f>
        <v>#REF!</v>
      </c>
    </row>
    <row r="6" spans="1:10" s="281" customFormat="1" ht="15.75" x14ac:dyDescent="0.25">
      <c r="A6" s="207" t="s">
        <v>1460</v>
      </c>
      <c r="B6" s="99" t="s">
        <v>291</v>
      </c>
      <c r="C6" s="113">
        <f>C7+C21+C37+C56+C69+C73+C85+C71+C15+C130+C131</f>
        <v>104316.43335000001</v>
      </c>
      <c r="D6" s="113">
        <f>D7+D21+D37+D56+D69+D73+D85+D71+D15+D130+D131</f>
        <v>112197.79334999999</v>
      </c>
      <c r="E6" s="280" t="e">
        <f>#REF!-'[2]прил4 доходы 2021'!$I$8</f>
        <v>#REF!</v>
      </c>
      <c r="F6" s="280" t="e">
        <f>E6-#REF!</f>
        <v>#REF!</v>
      </c>
      <c r="G6" s="281" t="e">
        <f>D6/#REF!*100</f>
        <v>#REF!</v>
      </c>
    </row>
    <row r="7" spans="1:10" s="281" customFormat="1" ht="15.75" x14ac:dyDescent="0.25">
      <c r="A7" s="207" t="s">
        <v>1461</v>
      </c>
      <c r="B7" s="99" t="s">
        <v>292</v>
      </c>
      <c r="C7" s="114">
        <f>C8</f>
        <v>63251.6</v>
      </c>
      <c r="D7" s="114">
        <f>D8</f>
        <v>67727.900000000009</v>
      </c>
      <c r="E7" s="280"/>
      <c r="G7" s="282" t="e">
        <f>#REF!+#REF!+#REF!</f>
        <v>#REF!</v>
      </c>
    </row>
    <row r="8" spans="1:10" s="281" customFormat="1" ht="15.75" x14ac:dyDescent="0.25">
      <c r="A8" s="207" t="s">
        <v>1462</v>
      </c>
      <c r="B8" s="99" t="s">
        <v>293</v>
      </c>
      <c r="C8" s="114">
        <f>C9+C12+C10+C11+C13+C14</f>
        <v>63251.6</v>
      </c>
      <c r="D8" s="114">
        <f>D9+D12+D10+D11+D13+D14</f>
        <v>67727.900000000009</v>
      </c>
      <c r="E8" s="280"/>
    </row>
    <row r="9" spans="1:10" s="281" customFormat="1" ht="53.25" customHeight="1" x14ac:dyDescent="0.2">
      <c r="A9" s="108" t="s">
        <v>1463</v>
      </c>
      <c r="B9" s="107" t="s">
        <v>664</v>
      </c>
      <c r="C9" s="478">
        <v>62647.199999999997</v>
      </c>
      <c r="D9" s="478">
        <v>65833.8</v>
      </c>
      <c r="E9" s="280"/>
    </row>
    <row r="10" spans="1:10" s="281" customFormat="1" ht="68.25" customHeight="1" x14ac:dyDescent="0.2">
      <c r="A10" s="108" t="s">
        <v>1464</v>
      </c>
      <c r="B10" s="107" t="s">
        <v>665</v>
      </c>
      <c r="C10" s="478">
        <v>56.1</v>
      </c>
      <c r="D10" s="478">
        <v>56.1</v>
      </c>
      <c r="E10" s="280"/>
    </row>
    <row r="11" spans="1:10" s="281" customFormat="1" ht="30" customHeight="1" x14ac:dyDescent="0.2">
      <c r="A11" s="108" t="s">
        <v>1465</v>
      </c>
      <c r="B11" s="107" t="s">
        <v>666</v>
      </c>
      <c r="C11" s="478">
        <v>190.3</v>
      </c>
      <c r="D11" s="478">
        <v>2600</v>
      </c>
      <c r="E11" s="280"/>
    </row>
    <row r="12" spans="1:10" s="281" customFormat="1" ht="50.25" customHeight="1" x14ac:dyDescent="0.2">
      <c r="A12" s="108" t="s">
        <v>1466</v>
      </c>
      <c r="B12" s="107" t="s">
        <v>667</v>
      </c>
      <c r="C12" s="478">
        <v>150</v>
      </c>
      <c r="D12" s="478">
        <v>350</v>
      </c>
      <c r="E12" s="280"/>
    </row>
    <row r="13" spans="1:10" s="281" customFormat="1" ht="50.25" customHeight="1" x14ac:dyDescent="0.2">
      <c r="A13" s="108" t="s">
        <v>1625</v>
      </c>
      <c r="B13" s="107" t="s">
        <v>1573</v>
      </c>
      <c r="C13" s="478">
        <v>98</v>
      </c>
      <c r="D13" s="478">
        <v>-1572</v>
      </c>
      <c r="E13" s="280"/>
    </row>
    <row r="14" spans="1:10" s="281" customFormat="1" ht="41.25" customHeight="1" x14ac:dyDescent="0.2">
      <c r="A14" s="108" t="s">
        <v>1857</v>
      </c>
      <c r="B14" s="107" t="s">
        <v>1858</v>
      </c>
      <c r="C14" s="478">
        <v>110</v>
      </c>
      <c r="D14" s="478">
        <v>460</v>
      </c>
      <c r="E14" s="280"/>
    </row>
    <row r="15" spans="1:10" s="281" customFormat="1" ht="29.25" customHeight="1" x14ac:dyDescent="0.25">
      <c r="A15" s="208" t="s">
        <v>1467</v>
      </c>
      <c r="B15" s="105" t="s">
        <v>598</v>
      </c>
      <c r="C15" s="114">
        <f>C16</f>
        <v>15307.43</v>
      </c>
      <c r="D15" s="114">
        <f>D16</f>
        <v>15518.09</v>
      </c>
      <c r="E15" s="280"/>
    </row>
    <row r="16" spans="1:10" s="281" customFormat="1" ht="27.75" customHeight="1" x14ac:dyDescent="0.2">
      <c r="A16" s="106" t="s">
        <v>1626</v>
      </c>
      <c r="B16" s="107" t="s">
        <v>599</v>
      </c>
      <c r="C16" s="478">
        <v>15307.43</v>
      </c>
      <c r="D16" s="478">
        <v>15518.09</v>
      </c>
      <c r="E16" s="280"/>
    </row>
    <row r="17" spans="1:5" ht="40.5" hidden="1" customHeight="1" x14ac:dyDescent="0.25">
      <c r="A17" s="106" t="s">
        <v>371</v>
      </c>
      <c r="B17" s="107" t="s">
        <v>663</v>
      </c>
      <c r="C17" s="115"/>
      <c r="D17" s="115"/>
      <c r="E17" s="280"/>
    </row>
    <row r="18" spans="1:5" ht="53.25" hidden="1" customHeight="1" x14ac:dyDescent="0.25">
      <c r="A18" s="106" t="s">
        <v>372</v>
      </c>
      <c r="B18" s="107" t="s">
        <v>662</v>
      </c>
      <c r="C18" s="115"/>
      <c r="D18" s="115"/>
      <c r="E18" s="280"/>
    </row>
    <row r="19" spans="1:5" ht="52.5" hidden="1" customHeight="1" x14ac:dyDescent="0.25">
      <c r="A19" s="106" t="s">
        <v>373</v>
      </c>
      <c r="B19" s="107" t="s">
        <v>661</v>
      </c>
      <c r="C19" s="115"/>
      <c r="D19" s="115"/>
      <c r="E19" s="280"/>
    </row>
    <row r="20" spans="1:5" ht="51" hidden="1" customHeight="1" x14ac:dyDescent="0.25">
      <c r="A20" s="106" t="s">
        <v>374</v>
      </c>
      <c r="B20" s="107" t="s">
        <v>660</v>
      </c>
      <c r="C20" s="115"/>
      <c r="D20" s="115"/>
      <c r="E20" s="280"/>
    </row>
    <row r="21" spans="1:5" s="281" customFormat="1" ht="15" customHeight="1" x14ac:dyDescent="0.25">
      <c r="A21" s="207" t="s">
        <v>1468</v>
      </c>
      <c r="B21" s="99" t="s">
        <v>206</v>
      </c>
      <c r="C21" s="114">
        <f>C25+C27+C36+C22</f>
        <v>15100</v>
      </c>
      <c r="D21" s="114">
        <f>D25+D27+D36+D22</f>
        <v>17200</v>
      </c>
      <c r="E21" s="280"/>
    </row>
    <row r="22" spans="1:5" s="281" customFormat="1" ht="17.25" customHeight="1" x14ac:dyDescent="0.2">
      <c r="A22" s="108" t="s">
        <v>1469</v>
      </c>
      <c r="B22" s="100" t="s">
        <v>375</v>
      </c>
      <c r="C22" s="478">
        <v>12400</v>
      </c>
      <c r="D22" s="478">
        <v>14100</v>
      </c>
      <c r="E22" s="280"/>
    </row>
    <row r="23" spans="1:5" ht="25.5" hidden="1" x14ac:dyDescent="0.25">
      <c r="A23" s="108" t="s">
        <v>791</v>
      </c>
      <c r="B23" s="100" t="s">
        <v>376</v>
      </c>
      <c r="C23" s="115"/>
      <c r="D23" s="115"/>
      <c r="E23" s="280"/>
    </row>
    <row r="24" spans="1:5" ht="25.5" hidden="1" x14ac:dyDescent="0.25">
      <c r="A24" s="108" t="s">
        <v>792</v>
      </c>
      <c r="B24" s="100" t="s">
        <v>377</v>
      </c>
      <c r="C24" s="115"/>
      <c r="D24" s="115"/>
      <c r="E24" s="280"/>
    </row>
    <row r="25" spans="1:5" s="281" customFormat="1" ht="19.5" hidden="1" customHeight="1" x14ac:dyDescent="0.2">
      <c r="A25" s="108" t="s">
        <v>793</v>
      </c>
      <c r="B25" s="100" t="s">
        <v>207</v>
      </c>
      <c r="C25" s="478"/>
      <c r="D25" s="478"/>
      <c r="E25" s="280"/>
    </row>
    <row r="26" spans="1:5" ht="41.25" hidden="1" customHeight="1" x14ac:dyDescent="0.25">
      <c r="A26" s="108" t="s">
        <v>794</v>
      </c>
      <c r="B26" s="101" t="s">
        <v>498</v>
      </c>
      <c r="C26" s="220"/>
      <c r="D26" s="220"/>
      <c r="E26" s="280"/>
    </row>
    <row r="27" spans="1:5" s="281" customFormat="1" ht="15" customHeight="1" x14ac:dyDescent="0.2">
      <c r="A27" s="108" t="s">
        <v>1470</v>
      </c>
      <c r="B27" s="100" t="s">
        <v>499</v>
      </c>
      <c r="C27" s="237">
        <v>200</v>
      </c>
      <c r="D27" s="237">
        <v>200</v>
      </c>
      <c r="E27" s="280"/>
    </row>
    <row r="28" spans="1:5" ht="20.25" hidden="1" customHeight="1" x14ac:dyDescent="0.25">
      <c r="A28" s="108" t="s">
        <v>795</v>
      </c>
      <c r="B28" s="100" t="s">
        <v>499</v>
      </c>
      <c r="C28" s="115"/>
      <c r="D28" s="115"/>
      <c r="E28" s="280"/>
    </row>
    <row r="29" spans="1:5" ht="27" hidden="1" customHeight="1" x14ac:dyDescent="0.25">
      <c r="A29" s="108" t="s">
        <v>796</v>
      </c>
      <c r="B29" s="102" t="s">
        <v>378</v>
      </c>
      <c r="C29" s="115"/>
      <c r="D29" s="115"/>
      <c r="E29" s="280"/>
    </row>
    <row r="30" spans="1:5" ht="15.75" hidden="1" x14ac:dyDescent="0.25">
      <c r="A30" s="108" t="s">
        <v>797</v>
      </c>
      <c r="B30" s="99" t="s">
        <v>379</v>
      </c>
      <c r="C30" s="114"/>
      <c r="D30" s="114"/>
      <c r="E30" s="280"/>
    </row>
    <row r="31" spans="1:5" ht="15.75" hidden="1" x14ac:dyDescent="0.25">
      <c r="A31" s="108" t="s">
        <v>798</v>
      </c>
      <c r="B31" s="100" t="s">
        <v>380</v>
      </c>
      <c r="C31" s="115"/>
      <c r="D31" s="115"/>
      <c r="E31" s="280"/>
    </row>
    <row r="32" spans="1:5" ht="25.5" hidden="1" x14ac:dyDescent="0.25">
      <c r="A32" s="108" t="s">
        <v>799</v>
      </c>
      <c r="B32" s="100" t="s">
        <v>381</v>
      </c>
      <c r="C32" s="115"/>
      <c r="D32" s="115"/>
      <c r="E32" s="280"/>
    </row>
    <row r="33" spans="1:6" ht="15.75" hidden="1" x14ac:dyDescent="0.25">
      <c r="A33" s="108" t="s">
        <v>800</v>
      </c>
      <c r="B33" s="100" t="s">
        <v>382</v>
      </c>
      <c r="C33" s="115"/>
      <c r="D33" s="115"/>
      <c r="E33" s="280"/>
    </row>
    <row r="34" spans="1:6" ht="15.75" hidden="1" x14ac:dyDescent="0.25">
      <c r="A34" s="108" t="s">
        <v>801</v>
      </c>
      <c r="B34" s="100" t="s">
        <v>383</v>
      </c>
      <c r="C34" s="115"/>
      <c r="D34" s="115"/>
      <c r="E34" s="280"/>
    </row>
    <row r="35" spans="1:6" ht="15.75" hidden="1" x14ac:dyDescent="0.25">
      <c r="A35" s="108" t="s">
        <v>802</v>
      </c>
      <c r="B35" s="100" t="s">
        <v>384</v>
      </c>
      <c r="C35" s="115"/>
      <c r="D35" s="115"/>
      <c r="E35" s="280"/>
    </row>
    <row r="36" spans="1:6" s="281" customFormat="1" ht="25.5" x14ac:dyDescent="0.2">
      <c r="A36" s="108" t="s">
        <v>1471</v>
      </c>
      <c r="B36" s="479" t="s">
        <v>764</v>
      </c>
      <c r="C36" s="478">
        <v>2500</v>
      </c>
      <c r="D36" s="478">
        <v>2900</v>
      </c>
      <c r="E36" s="280"/>
    </row>
    <row r="37" spans="1:6" s="281" customFormat="1" ht="15.75" x14ac:dyDescent="0.25">
      <c r="A37" s="207" t="s">
        <v>1472</v>
      </c>
      <c r="B37" s="99" t="s">
        <v>50</v>
      </c>
      <c r="C37" s="114">
        <f>C38</f>
        <v>2800</v>
      </c>
      <c r="D37" s="114">
        <f>D38</f>
        <v>4400</v>
      </c>
      <c r="E37" s="280"/>
    </row>
    <row r="38" spans="1:6" s="281" customFormat="1" ht="28.5" customHeight="1" x14ac:dyDescent="0.2">
      <c r="A38" s="108" t="s">
        <v>1473</v>
      </c>
      <c r="B38" s="100" t="s">
        <v>51</v>
      </c>
      <c r="C38" s="478">
        <v>2800</v>
      </c>
      <c r="D38" s="478">
        <v>4400</v>
      </c>
      <c r="E38" s="280"/>
    </row>
    <row r="39" spans="1:6" ht="25.5" hidden="1" customHeight="1" x14ac:dyDescent="0.25">
      <c r="A39" s="108" t="s">
        <v>385</v>
      </c>
      <c r="B39" s="100" t="s">
        <v>386</v>
      </c>
      <c r="C39" s="115">
        <f>C40</f>
        <v>0</v>
      </c>
      <c r="D39" s="115">
        <f>D40</f>
        <v>0</v>
      </c>
      <c r="E39" s="280"/>
    </row>
    <row r="40" spans="1:6" ht="38.25" hidden="1" x14ac:dyDescent="0.25">
      <c r="A40" s="108" t="s">
        <v>387</v>
      </c>
      <c r="B40" s="97" t="s">
        <v>388</v>
      </c>
      <c r="C40" s="115"/>
      <c r="D40" s="115"/>
      <c r="E40" s="280"/>
    </row>
    <row r="41" spans="1:6" ht="56.25" hidden="1" customHeight="1" x14ac:dyDescent="0.25">
      <c r="A41" s="108" t="s">
        <v>389</v>
      </c>
      <c r="B41" s="149" t="s">
        <v>390</v>
      </c>
      <c r="C41" s="114">
        <f>SUM(C42:C54)</f>
        <v>0</v>
      </c>
      <c r="D41" s="114">
        <f>SUM(D42:D54)</f>
        <v>0</v>
      </c>
      <c r="E41" s="280"/>
      <c r="F41" s="148"/>
    </row>
    <row r="42" spans="1:6" ht="36" hidden="1" customHeight="1" x14ac:dyDescent="0.25">
      <c r="A42" s="108" t="s">
        <v>391</v>
      </c>
      <c r="B42" s="100" t="s">
        <v>392</v>
      </c>
      <c r="C42" s="115"/>
      <c r="D42" s="115"/>
      <c r="E42" s="280"/>
    </row>
    <row r="43" spans="1:6" ht="22.5" hidden="1" customHeight="1" x14ac:dyDescent="0.25">
      <c r="A43" s="108" t="s">
        <v>393</v>
      </c>
      <c r="B43" s="100" t="s">
        <v>0</v>
      </c>
      <c r="C43" s="115"/>
      <c r="D43" s="115"/>
      <c r="E43" s="280"/>
    </row>
    <row r="44" spans="1:6" ht="15.75" hidden="1" x14ac:dyDescent="0.25">
      <c r="A44" s="108" t="s">
        <v>394</v>
      </c>
      <c r="B44" s="100" t="s">
        <v>395</v>
      </c>
      <c r="C44" s="115"/>
      <c r="D44" s="115"/>
      <c r="E44" s="280"/>
    </row>
    <row r="45" spans="1:6" ht="15.75" hidden="1" x14ac:dyDescent="0.25">
      <c r="A45" s="108" t="s">
        <v>396</v>
      </c>
      <c r="B45" s="100" t="s">
        <v>397</v>
      </c>
      <c r="C45" s="115"/>
      <c r="D45" s="115"/>
      <c r="E45" s="280"/>
    </row>
    <row r="46" spans="1:6" ht="25.5" hidden="1" x14ac:dyDescent="0.25">
      <c r="A46" s="108" t="s">
        <v>398</v>
      </c>
      <c r="B46" s="100" t="s">
        <v>399</v>
      </c>
      <c r="C46" s="115"/>
      <c r="D46" s="115"/>
      <c r="E46" s="280"/>
    </row>
    <row r="47" spans="1:6" ht="15.75" hidden="1" x14ac:dyDescent="0.25">
      <c r="A47" s="108" t="s">
        <v>400</v>
      </c>
      <c r="B47" s="100" t="s">
        <v>401</v>
      </c>
      <c r="C47" s="115"/>
      <c r="D47" s="115"/>
      <c r="E47" s="280"/>
    </row>
    <row r="48" spans="1:6" ht="15.75" hidden="1" x14ac:dyDescent="0.25">
      <c r="A48" s="108" t="s">
        <v>402</v>
      </c>
      <c r="B48" s="100" t="s">
        <v>403</v>
      </c>
      <c r="C48" s="115"/>
      <c r="D48" s="115"/>
      <c r="E48" s="280"/>
    </row>
    <row r="49" spans="1:5" ht="25.5" hidden="1" x14ac:dyDescent="0.25">
      <c r="A49" s="108" t="s">
        <v>404</v>
      </c>
      <c r="B49" s="100" t="s">
        <v>405</v>
      </c>
      <c r="C49" s="115">
        <v>0</v>
      </c>
      <c r="D49" s="115">
        <v>0</v>
      </c>
      <c r="E49" s="280"/>
    </row>
    <row r="50" spans="1:5" ht="25.5" hidden="1" x14ac:dyDescent="0.25">
      <c r="A50" s="108" t="s">
        <v>406</v>
      </c>
      <c r="B50" s="100" t="s">
        <v>407</v>
      </c>
      <c r="C50" s="115"/>
      <c r="D50" s="115"/>
      <c r="E50" s="280"/>
    </row>
    <row r="51" spans="1:5" ht="15.75" hidden="1" x14ac:dyDescent="0.25">
      <c r="A51" s="108" t="s">
        <v>408</v>
      </c>
      <c r="B51" s="100" t="s">
        <v>251</v>
      </c>
      <c r="C51" s="115">
        <v>0</v>
      </c>
      <c r="D51" s="115">
        <v>0</v>
      </c>
      <c r="E51" s="280"/>
    </row>
    <row r="52" spans="1:5" ht="15.75" hidden="1" x14ac:dyDescent="0.25">
      <c r="A52" s="108" t="s">
        <v>409</v>
      </c>
      <c r="B52" s="100" t="s">
        <v>410</v>
      </c>
      <c r="C52" s="115"/>
      <c r="D52" s="115"/>
      <c r="E52" s="280"/>
    </row>
    <row r="53" spans="1:5" ht="25.5" hidden="1" x14ac:dyDescent="0.25">
      <c r="A53" s="108" t="s">
        <v>411</v>
      </c>
      <c r="B53" s="100" t="s">
        <v>412</v>
      </c>
      <c r="C53" s="115"/>
      <c r="D53" s="115"/>
      <c r="E53" s="280"/>
    </row>
    <row r="54" spans="1:5" ht="38.25" hidden="1" x14ac:dyDescent="0.25">
      <c r="A54" s="108" t="s">
        <v>413</v>
      </c>
      <c r="B54" s="100" t="s">
        <v>414</v>
      </c>
      <c r="C54" s="115"/>
      <c r="D54" s="115"/>
      <c r="E54" s="280"/>
    </row>
    <row r="55" spans="1:5" ht="25.5" hidden="1" x14ac:dyDescent="0.25">
      <c r="A55" s="96" t="s">
        <v>415</v>
      </c>
      <c r="B55" s="97" t="s">
        <v>416</v>
      </c>
      <c r="C55" s="115">
        <v>0</v>
      </c>
      <c r="D55" s="115">
        <v>0</v>
      </c>
      <c r="E55" s="280"/>
    </row>
    <row r="56" spans="1:5" s="281" customFormat="1" ht="31.5" customHeight="1" x14ac:dyDescent="0.25">
      <c r="A56" s="207" t="s">
        <v>1474</v>
      </c>
      <c r="B56" s="99" t="s">
        <v>275</v>
      </c>
      <c r="C56" s="114">
        <f>C57+C67+C65+C68+C66</f>
        <v>2017.5</v>
      </c>
      <c r="D56" s="114">
        <f>D57+D67+D65+D68+D66</f>
        <v>1139</v>
      </c>
      <c r="E56" s="280"/>
    </row>
    <row r="57" spans="1:5" s="281" customFormat="1" ht="51.75" customHeight="1" x14ac:dyDescent="0.25">
      <c r="A57" s="108" t="s">
        <v>1627</v>
      </c>
      <c r="B57" s="102" t="s">
        <v>1390</v>
      </c>
      <c r="C57" s="115">
        <v>143</v>
      </c>
      <c r="D57" s="115">
        <v>250</v>
      </c>
      <c r="E57" s="280"/>
    </row>
    <row r="58" spans="1:5" ht="55.5" hidden="1" customHeight="1" x14ac:dyDescent="0.2">
      <c r="A58" s="108" t="s">
        <v>803</v>
      </c>
      <c r="B58" s="150" t="s">
        <v>763</v>
      </c>
      <c r="C58" s="478"/>
      <c r="D58" s="478"/>
      <c r="E58" s="280"/>
    </row>
    <row r="59" spans="1:5" ht="55.5" hidden="1" customHeight="1" x14ac:dyDescent="0.2">
      <c r="A59" s="108" t="s">
        <v>804</v>
      </c>
      <c r="B59" s="150" t="s">
        <v>765</v>
      </c>
      <c r="C59" s="237"/>
      <c r="D59" s="237"/>
      <c r="E59" s="280"/>
    </row>
    <row r="60" spans="1:5" ht="51" hidden="1" x14ac:dyDescent="0.25">
      <c r="A60" s="108" t="s">
        <v>417</v>
      </c>
      <c r="B60" s="100" t="s">
        <v>418</v>
      </c>
      <c r="C60" s="115"/>
      <c r="D60" s="115"/>
      <c r="E60" s="280"/>
    </row>
    <row r="61" spans="1:5" ht="51" hidden="1" x14ac:dyDescent="0.25">
      <c r="A61" s="108" t="s">
        <v>419</v>
      </c>
      <c r="B61" s="102" t="s">
        <v>420</v>
      </c>
      <c r="C61" s="115"/>
      <c r="D61" s="115"/>
      <c r="E61" s="280"/>
    </row>
    <row r="62" spans="1:5" ht="25.5" hidden="1" x14ac:dyDescent="0.25">
      <c r="A62" s="108" t="s">
        <v>421</v>
      </c>
      <c r="B62" s="100" t="s">
        <v>422</v>
      </c>
      <c r="C62" s="115"/>
      <c r="D62" s="115"/>
      <c r="E62" s="280"/>
    </row>
    <row r="63" spans="1:5" ht="51" hidden="1" x14ac:dyDescent="0.25">
      <c r="A63" s="106" t="s">
        <v>423</v>
      </c>
      <c r="B63" s="100" t="s">
        <v>424</v>
      </c>
      <c r="C63" s="115"/>
      <c r="D63" s="115"/>
      <c r="E63" s="280"/>
    </row>
    <row r="64" spans="1:5" ht="63" hidden="1" customHeight="1" x14ac:dyDescent="0.25">
      <c r="A64" s="108" t="s">
        <v>425</v>
      </c>
      <c r="B64" s="102" t="s">
        <v>426</v>
      </c>
      <c r="C64" s="115"/>
      <c r="D64" s="115"/>
      <c r="E64" s="280"/>
    </row>
    <row r="65" spans="1:5" ht="50.25" customHeight="1" x14ac:dyDescent="0.25">
      <c r="A65" s="108" t="s">
        <v>1628</v>
      </c>
      <c r="B65" s="481" t="s">
        <v>1391</v>
      </c>
      <c r="C65" s="115">
        <v>1754.5</v>
      </c>
      <c r="D65" s="115">
        <v>604.5</v>
      </c>
      <c r="E65" s="280"/>
    </row>
    <row r="66" spans="1:5" ht="48" customHeight="1" x14ac:dyDescent="0.25">
      <c r="A66" s="108" t="s">
        <v>1629</v>
      </c>
      <c r="B66" s="611" t="s">
        <v>1574</v>
      </c>
      <c r="C66" s="115"/>
      <c r="D66" s="115">
        <v>200</v>
      </c>
      <c r="E66" s="280"/>
    </row>
    <row r="67" spans="1:5" s="281" customFormat="1" ht="54.75" customHeight="1" x14ac:dyDescent="0.25">
      <c r="A67" s="108" t="s">
        <v>1475</v>
      </c>
      <c r="B67" s="102" t="s">
        <v>192</v>
      </c>
      <c r="C67" s="115">
        <v>120</v>
      </c>
      <c r="D67" s="115">
        <v>80</v>
      </c>
      <c r="E67" s="280"/>
    </row>
    <row r="68" spans="1:5" ht="38.25" customHeight="1" x14ac:dyDescent="0.2">
      <c r="A68" s="108" t="s">
        <v>2000</v>
      </c>
      <c r="B68" s="717" t="s">
        <v>1418</v>
      </c>
      <c r="C68" s="237"/>
      <c r="D68" s="237">
        <v>4.5</v>
      </c>
      <c r="E68" s="280"/>
    </row>
    <row r="69" spans="1:5" s="281" customFormat="1" ht="17.25" customHeight="1" x14ac:dyDescent="0.25">
      <c r="A69" s="207" t="s">
        <v>1476</v>
      </c>
      <c r="B69" s="99" t="s">
        <v>193</v>
      </c>
      <c r="C69" s="114">
        <f>C70</f>
        <v>450</v>
      </c>
      <c r="D69" s="114">
        <f>D70</f>
        <v>572.9</v>
      </c>
      <c r="E69" s="280"/>
    </row>
    <row r="70" spans="1:5" s="281" customFormat="1" ht="15.75" customHeight="1" x14ac:dyDescent="0.2">
      <c r="A70" s="108" t="s">
        <v>1477</v>
      </c>
      <c r="B70" s="100" t="s">
        <v>37</v>
      </c>
      <c r="C70" s="478">
        <v>450</v>
      </c>
      <c r="D70" s="478">
        <v>572.9</v>
      </c>
      <c r="E70" s="280"/>
    </row>
    <row r="71" spans="1:5" ht="24" customHeight="1" x14ac:dyDescent="0.25">
      <c r="A71" s="108" t="s">
        <v>1653</v>
      </c>
      <c r="B71" s="99" t="s">
        <v>194</v>
      </c>
      <c r="C71" s="114">
        <f>C72</f>
        <v>2689.90335</v>
      </c>
      <c r="D71" s="114">
        <f>D72</f>
        <v>2689.90335</v>
      </c>
      <c r="E71" s="280"/>
    </row>
    <row r="72" spans="1:5" ht="15.75" customHeight="1" x14ac:dyDescent="0.25">
      <c r="A72" s="98" t="s">
        <v>1971</v>
      </c>
      <c r="B72" s="100" t="s">
        <v>1972</v>
      </c>
      <c r="C72" s="115">
        <f>442.51266+2247.39069</f>
        <v>2689.90335</v>
      </c>
      <c r="D72" s="115">
        <f>442.51266+2247.39069</f>
        <v>2689.90335</v>
      </c>
      <c r="E72" s="280"/>
    </row>
    <row r="73" spans="1:5" s="281" customFormat="1" ht="19.5" customHeight="1" x14ac:dyDescent="0.25">
      <c r="A73" s="209" t="s">
        <v>1478</v>
      </c>
      <c r="B73" s="151" t="s">
        <v>195</v>
      </c>
      <c r="C73" s="114">
        <f>C74+C80</f>
        <v>900</v>
      </c>
      <c r="D73" s="114">
        <f>D74+D80</f>
        <v>1150</v>
      </c>
      <c r="E73" s="280"/>
    </row>
    <row r="74" spans="1:5" ht="54" customHeight="1" x14ac:dyDescent="0.25">
      <c r="A74" s="103" t="s">
        <v>1335</v>
      </c>
      <c r="B74" s="152" t="s">
        <v>427</v>
      </c>
      <c r="C74" s="115">
        <f>SUM(C75:C78)</f>
        <v>82</v>
      </c>
      <c r="D74" s="115">
        <f>SUM(D75:D78)</f>
        <v>82</v>
      </c>
      <c r="E74" s="280"/>
    </row>
    <row r="75" spans="1:5" ht="54" hidden="1" customHeight="1" x14ac:dyDescent="0.25">
      <c r="A75" s="103" t="s">
        <v>428</v>
      </c>
      <c r="B75" s="152" t="s">
        <v>429</v>
      </c>
      <c r="C75" s="115">
        <v>0</v>
      </c>
      <c r="D75" s="115">
        <v>0</v>
      </c>
      <c r="E75" s="280"/>
    </row>
    <row r="76" spans="1:5" ht="51.75" hidden="1" x14ac:dyDescent="0.25">
      <c r="A76" s="103" t="s">
        <v>430</v>
      </c>
      <c r="B76" s="152" t="s">
        <v>431</v>
      </c>
      <c r="C76" s="115">
        <v>0</v>
      </c>
      <c r="D76" s="115">
        <v>0</v>
      </c>
      <c r="E76" s="280"/>
    </row>
    <row r="77" spans="1:5" ht="57" customHeight="1" x14ac:dyDescent="0.25">
      <c r="A77" s="103" t="s">
        <v>779</v>
      </c>
      <c r="B77" s="152" t="s">
        <v>432</v>
      </c>
      <c r="C77" s="115">
        <v>82</v>
      </c>
      <c r="D77" s="115">
        <v>82</v>
      </c>
      <c r="E77" s="280"/>
    </row>
    <row r="78" spans="1:5" ht="51.75" hidden="1" x14ac:dyDescent="0.25">
      <c r="A78" s="103" t="s">
        <v>433</v>
      </c>
      <c r="B78" s="152" t="s">
        <v>434</v>
      </c>
      <c r="C78" s="115">
        <v>0</v>
      </c>
      <c r="D78" s="115">
        <v>0</v>
      </c>
      <c r="E78" s="280"/>
    </row>
    <row r="79" spans="1:5" ht="51.75" hidden="1" x14ac:dyDescent="0.25">
      <c r="A79" s="103" t="s">
        <v>1630</v>
      </c>
      <c r="B79" s="152" t="s">
        <v>1575</v>
      </c>
      <c r="C79" s="115"/>
      <c r="D79" s="115"/>
      <c r="E79" s="280"/>
    </row>
    <row r="80" spans="1:5" s="281" customFormat="1" ht="38.25" x14ac:dyDescent="0.25">
      <c r="A80" s="103" t="s">
        <v>1479</v>
      </c>
      <c r="B80" s="153" t="s">
        <v>435</v>
      </c>
      <c r="C80" s="114">
        <f>C81+C84</f>
        <v>818</v>
      </c>
      <c r="D80" s="114">
        <f>D81+D84</f>
        <v>1068</v>
      </c>
      <c r="E80" s="280"/>
    </row>
    <row r="81" spans="1:5" s="281" customFormat="1" ht="29.25" customHeight="1" x14ac:dyDescent="0.25">
      <c r="A81" s="103" t="s">
        <v>1480</v>
      </c>
      <c r="B81" s="481" t="s">
        <v>502</v>
      </c>
      <c r="C81" s="115">
        <f>350+218</f>
        <v>568</v>
      </c>
      <c r="D81" s="115">
        <v>818</v>
      </c>
      <c r="E81" s="280">
        <v>-442.51265999999998</v>
      </c>
    </row>
    <row r="82" spans="1:5" ht="39" hidden="1" customHeight="1" x14ac:dyDescent="0.2">
      <c r="A82" s="103" t="s">
        <v>805</v>
      </c>
      <c r="B82" s="210" t="s">
        <v>762</v>
      </c>
      <c r="C82" s="237"/>
      <c r="D82" s="237"/>
      <c r="E82" s="280"/>
    </row>
    <row r="83" spans="1:5" ht="30" hidden="1" customHeight="1" x14ac:dyDescent="0.2">
      <c r="A83" s="103" t="s">
        <v>806</v>
      </c>
      <c r="B83" s="154" t="s">
        <v>502</v>
      </c>
      <c r="C83" s="237"/>
      <c r="D83" s="237"/>
      <c r="E83" s="280"/>
    </row>
    <row r="84" spans="1:5" ht="44.25" customHeight="1" x14ac:dyDescent="0.2">
      <c r="A84" s="103" t="s">
        <v>1631</v>
      </c>
      <c r="B84" s="150" t="s">
        <v>502</v>
      </c>
      <c r="C84" s="237">
        <v>250</v>
      </c>
      <c r="D84" s="237">
        <v>250</v>
      </c>
      <c r="E84" s="280"/>
    </row>
    <row r="85" spans="1:5" s="281" customFormat="1" ht="15.75" x14ac:dyDescent="0.2">
      <c r="A85" s="207" t="s">
        <v>1481</v>
      </c>
      <c r="B85" s="99" t="s">
        <v>18</v>
      </c>
      <c r="C85" s="480">
        <v>1800</v>
      </c>
      <c r="D85" s="480">
        <v>1800</v>
      </c>
      <c r="E85" s="280"/>
    </row>
    <row r="86" spans="1:5" ht="15.75" hidden="1" x14ac:dyDescent="0.25">
      <c r="A86" s="108" t="s">
        <v>17</v>
      </c>
      <c r="B86" s="99" t="s">
        <v>18</v>
      </c>
      <c r="C86" s="114">
        <v>0</v>
      </c>
      <c r="D86" s="114">
        <v>0</v>
      </c>
      <c r="E86" s="157" t="e">
        <f>#REF!-D86</f>
        <v>#REF!</v>
      </c>
    </row>
    <row r="87" spans="1:5" ht="15.75" hidden="1" x14ac:dyDescent="0.25">
      <c r="A87" s="155" t="s">
        <v>19</v>
      </c>
      <c r="B87" s="100" t="s">
        <v>20</v>
      </c>
      <c r="C87" s="115">
        <f>C88+C89</f>
        <v>0</v>
      </c>
      <c r="D87" s="115">
        <f>D88+D89</f>
        <v>0</v>
      </c>
      <c r="E87" s="157" t="e">
        <f>#REF!-D87</f>
        <v>#REF!</v>
      </c>
    </row>
    <row r="88" spans="1:5" ht="69.75" hidden="1" x14ac:dyDescent="0.25">
      <c r="A88" s="155" t="s">
        <v>21</v>
      </c>
      <c r="B88" s="97" t="s">
        <v>2</v>
      </c>
      <c r="C88" s="115"/>
      <c r="D88" s="115"/>
      <c r="E88" s="157" t="e">
        <f>#REF!-D88</f>
        <v>#REF!</v>
      </c>
    </row>
    <row r="89" spans="1:5" ht="38.25" hidden="1" x14ac:dyDescent="0.25">
      <c r="A89" s="155" t="s">
        <v>22</v>
      </c>
      <c r="B89" s="100" t="s">
        <v>202</v>
      </c>
      <c r="C89" s="115"/>
      <c r="D89" s="115"/>
      <c r="E89" s="157" t="e">
        <f>#REF!-D89</f>
        <v>#REF!</v>
      </c>
    </row>
    <row r="90" spans="1:5" ht="38.25" hidden="1" x14ac:dyDescent="0.25">
      <c r="A90" s="155" t="s">
        <v>23</v>
      </c>
      <c r="B90" s="100" t="s">
        <v>203</v>
      </c>
      <c r="C90" s="115"/>
      <c r="D90" s="115"/>
      <c r="E90" s="157" t="e">
        <f>#REF!-D90</f>
        <v>#REF!</v>
      </c>
    </row>
    <row r="91" spans="1:5" ht="38.25" hidden="1" x14ac:dyDescent="0.25">
      <c r="A91" s="155" t="s">
        <v>436</v>
      </c>
      <c r="B91" s="100" t="s">
        <v>10</v>
      </c>
      <c r="C91" s="115"/>
      <c r="D91" s="115"/>
      <c r="E91" s="157" t="e">
        <f>#REF!-D91</f>
        <v>#REF!</v>
      </c>
    </row>
    <row r="92" spans="1:5" ht="30" hidden="1" customHeight="1" x14ac:dyDescent="0.25">
      <c r="A92" s="155" t="s">
        <v>862</v>
      </c>
      <c r="B92" s="100" t="s">
        <v>863</v>
      </c>
      <c r="C92" s="115"/>
      <c r="D92" s="115"/>
      <c r="E92" s="157"/>
    </row>
    <row r="93" spans="1:5" ht="30" hidden="1" customHeight="1" x14ac:dyDescent="0.25">
      <c r="A93" s="155" t="s">
        <v>864</v>
      </c>
      <c r="B93" s="100" t="s">
        <v>865</v>
      </c>
      <c r="C93" s="115"/>
      <c r="D93" s="115"/>
      <c r="E93" s="157"/>
    </row>
    <row r="94" spans="1:5" ht="30" hidden="1" customHeight="1" x14ac:dyDescent="0.25">
      <c r="A94" s="155" t="s">
        <v>866</v>
      </c>
      <c r="B94" s="100" t="s">
        <v>867</v>
      </c>
      <c r="C94" s="115"/>
      <c r="D94" s="115"/>
      <c r="E94" s="157"/>
    </row>
    <row r="95" spans="1:5" ht="25.5" hidden="1" x14ac:dyDescent="0.25">
      <c r="A95" s="155" t="s">
        <v>437</v>
      </c>
      <c r="B95" s="100" t="s">
        <v>438</v>
      </c>
      <c r="C95" s="115"/>
      <c r="D95" s="115"/>
      <c r="E95" s="157" t="e">
        <f>#REF!-D95</f>
        <v>#REF!</v>
      </c>
    </row>
    <row r="96" spans="1:5" ht="51" hidden="1" x14ac:dyDescent="0.25">
      <c r="A96" s="155" t="s">
        <v>439</v>
      </c>
      <c r="B96" s="100" t="s">
        <v>440</v>
      </c>
      <c r="C96" s="115"/>
      <c r="D96" s="115"/>
      <c r="E96" s="157" t="e">
        <f>#REF!-D96</f>
        <v>#REF!</v>
      </c>
    </row>
    <row r="97" spans="1:6" ht="51" hidden="1" x14ac:dyDescent="0.25">
      <c r="A97" s="155" t="s">
        <v>24</v>
      </c>
      <c r="B97" s="100" t="s">
        <v>167</v>
      </c>
      <c r="C97" s="115"/>
      <c r="D97" s="115"/>
      <c r="E97" s="157" t="e">
        <f>#REF!-D97</f>
        <v>#REF!</v>
      </c>
    </row>
    <row r="98" spans="1:6" ht="25.5" hidden="1" x14ac:dyDescent="0.25">
      <c r="A98" s="156" t="s">
        <v>168</v>
      </c>
      <c r="B98" s="100" t="s">
        <v>616</v>
      </c>
      <c r="C98" s="115"/>
      <c r="D98" s="115"/>
      <c r="E98" s="157" t="e">
        <f>#REF!-D98</f>
        <v>#REF!</v>
      </c>
      <c r="F98" s="157"/>
    </row>
    <row r="99" spans="1:6" ht="25.5" hidden="1" x14ac:dyDescent="0.25">
      <c r="A99" s="156" t="s">
        <v>441</v>
      </c>
      <c r="B99" s="100" t="s">
        <v>134</v>
      </c>
      <c r="C99" s="115"/>
      <c r="D99" s="115"/>
      <c r="E99" s="157" t="e">
        <f>#REF!-D99</f>
        <v>#REF!</v>
      </c>
      <c r="F99" s="157"/>
    </row>
    <row r="100" spans="1:6" ht="15.75" hidden="1" x14ac:dyDescent="0.25">
      <c r="A100" s="155" t="s">
        <v>617</v>
      </c>
      <c r="B100" s="100" t="s">
        <v>135</v>
      </c>
      <c r="C100" s="115"/>
      <c r="D100" s="115"/>
      <c r="E100" s="157" t="e">
        <f>#REF!-D100</f>
        <v>#REF!</v>
      </c>
      <c r="F100" s="157"/>
    </row>
    <row r="101" spans="1:6" ht="15.75" hidden="1" x14ac:dyDescent="0.25">
      <c r="A101" s="155" t="s">
        <v>442</v>
      </c>
      <c r="B101" s="100" t="s">
        <v>443</v>
      </c>
      <c r="C101" s="115"/>
      <c r="D101" s="115"/>
      <c r="E101" s="157" t="e">
        <f>#REF!-D101</f>
        <v>#REF!</v>
      </c>
    </row>
    <row r="102" spans="1:6" ht="25.5" hidden="1" x14ac:dyDescent="0.25">
      <c r="A102" s="155" t="s">
        <v>444</v>
      </c>
      <c r="B102" s="100" t="s">
        <v>445</v>
      </c>
      <c r="C102" s="115"/>
      <c r="D102" s="115"/>
      <c r="E102" s="157" t="e">
        <f>#REF!-D102</f>
        <v>#REF!</v>
      </c>
    </row>
    <row r="103" spans="1:6" ht="38.25" hidden="1" x14ac:dyDescent="0.25">
      <c r="A103" s="155" t="s">
        <v>151</v>
      </c>
      <c r="B103" s="100" t="s">
        <v>152</v>
      </c>
      <c r="C103" s="115"/>
      <c r="D103" s="115"/>
      <c r="E103" s="157" t="e">
        <f>#REF!-D103</f>
        <v>#REF!</v>
      </c>
    </row>
    <row r="104" spans="1:6" ht="25.5" hidden="1" x14ac:dyDescent="0.25">
      <c r="A104" s="155" t="s">
        <v>446</v>
      </c>
      <c r="B104" s="100" t="s">
        <v>136</v>
      </c>
      <c r="C104" s="115"/>
      <c r="D104" s="115"/>
      <c r="E104" s="157" t="e">
        <f>#REF!-D104</f>
        <v>#REF!</v>
      </c>
    </row>
    <row r="105" spans="1:6" ht="38.25" hidden="1" x14ac:dyDescent="0.25">
      <c r="A105" s="155" t="s">
        <v>447</v>
      </c>
      <c r="B105" s="100" t="s">
        <v>448</v>
      </c>
      <c r="C105" s="115"/>
      <c r="D105" s="115"/>
      <c r="E105" s="157" t="e">
        <f>#REF!-D105</f>
        <v>#REF!</v>
      </c>
    </row>
    <row r="106" spans="1:6" ht="38.25" hidden="1" x14ac:dyDescent="0.25">
      <c r="A106" s="155" t="s">
        <v>112</v>
      </c>
      <c r="B106" s="97" t="s">
        <v>449</v>
      </c>
      <c r="C106" s="115"/>
      <c r="D106" s="115"/>
      <c r="E106" s="157" t="e">
        <f>#REF!-D106</f>
        <v>#REF!</v>
      </c>
    </row>
    <row r="107" spans="1:6" ht="25.5" hidden="1" x14ac:dyDescent="0.25">
      <c r="A107" s="155" t="s">
        <v>868</v>
      </c>
      <c r="B107" s="97" t="s">
        <v>771</v>
      </c>
      <c r="C107" s="115"/>
      <c r="D107" s="115"/>
      <c r="E107" s="157"/>
    </row>
    <row r="108" spans="1:6" ht="38.25" hidden="1" x14ac:dyDescent="0.25">
      <c r="A108" s="155" t="s">
        <v>766</v>
      </c>
      <c r="B108" s="97" t="s">
        <v>767</v>
      </c>
      <c r="C108" s="115"/>
      <c r="D108" s="115"/>
      <c r="E108" s="157" t="e">
        <f>#REF!-D108</f>
        <v>#REF!</v>
      </c>
    </row>
    <row r="109" spans="1:6" ht="25.5" hidden="1" x14ac:dyDescent="0.25">
      <c r="A109" s="155" t="s">
        <v>450</v>
      </c>
      <c r="B109" s="100" t="s">
        <v>451</v>
      </c>
      <c r="C109" s="115"/>
      <c r="D109" s="115"/>
      <c r="E109" s="157" t="e">
        <f>#REF!-D109</f>
        <v>#REF!</v>
      </c>
    </row>
    <row r="110" spans="1:6" ht="25.5" hidden="1" x14ac:dyDescent="0.25">
      <c r="A110" s="155" t="s">
        <v>115</v>
      </c>
      <c r="B110" s="100" t="s">
        <v>630</v>
      </c>
      <c r="C110" s="115"/>
      <c r="D110" s="115"/>
      <c r="E110" s="157" t="e">
        <f>#REF!-D110</f>
        <v>#REF!</v>
      </c>
    </row>
    <row r="111" spans="1:6" ht="15.75" hidden="1" x14ac:dyDescent="0.25">
      <c r="A111" s="155" t="s">
        <v>116</v>
      </c>
      <c r="B111" s="99" t="s">
        <v>117</v>
      </c>
      <c r="C111" s="113"/>
      <c r="D111" s="113"/>
      <c r="E111" s="157" t="e">
        <f>#REF!-D111</f>
        <v>#REF!</v>
      </c>
    </row>
    <row r="112" spans="1:6" ht="15.75" hidden="1" x14ac:dyDescent="0.25">
      <c r="A112" s="155" t="s">
        <v>452</v>
      </c>
      <c r="B112" s="100" t="s">
        <v>453</v>
      </c>
      <c r="C112" s="241"/>
      <c r="D112" s="241"/>
      <c r="E112" s="157" t="e">
        <f>#REF!-D112</f>
        <v>#REF!</v>
      </c>
    </row>
    <row r="113" spans="1:5" ht="15.75" hidden="1" x14ac:dyDescent="0.25">
      <c r="A113" s="155" t="s">
        <v>118</v>
      </c>
      <c r="B113" s="100" t="s">
        <v>90</v>
      </c>
      <c r="C113" s="241"/>
      <c r="D113" s="241"/>
      <c r="E113" s="157" t="e">
        <f>#REF!-D113</f>
        <v>#REF!</v>
      </c>
    </row>
    <row r="114" spans="1:5" ht="15.75" hidden="1" x14ac:dyDescent="0.25">
      <c r="A114" s="155" t="s">
        <v>454</v>
      </c>
      <c r="B114" s="100" t="s">
        <v>455</v>
      </c>
      <c r="C114" s="241"/>
      <c r="D114" s="241"/>
      <c r="E114" s="157" t="e">
        <f>#REF!-D114</f>
        <v>#REF!</v>
      </c>
    </row>
    <row r="115" spans="1:5" ht="15.75" hidden="1" x14ac:dyDescent="0.25">
      <c r="A115" s="155" t="s">
        <v>119</v>
      </c>
      <c r="B115" s="100" t="s">
        <v>120</v>
      </c>
      <c r="C115" s="241"/>
      <c r="D115" s="241"/>
      <c r="E115" s="157" t="e">
        <f>#REF!-D115</f>
        <v>#REF!</v>
      </c>
    </row>
    <row r="116" spans="1:5" ht="15.75" hidden="1" x14ac:dyDescent="0.25">
      <c r="A116" s="158" t="s">
        <v>19</v>
      </c>
      <c r="B116" s="104" t="s">
        <v>20</v>
      </c>
      <c r="C116" s="115"/>
      <c r="D116" s="115"/>
      <c r="E116" s="157" t="e">
        <f>#REF!-D116</f>
        <v>#REF!</v>
      </c>
    </row>
    <row r="117" spans="1:5" ht="69.75" hidden="1" x14ac:dyDescent="0.25">
      <c r="A117" s="158" t="s">
        <v>21</v>
      </c>
      <c r="B117" s="97" t="s">
        <v>2</v>
      </c>
      <c r="C117" s="115"/>
      <c r="D117" s="115"/>
      <c r="E117" s="157" t="e">
        <f>#REF!-D117</f>
        <v>#REF!</v>
      </c>
    </row>
    <row r="118" spans="1:5" ht="36" hidden="1" x14ac:dyDescent="0.25">
      <c r="A118" s="158" t="s">
        <v>22</v>
      </c>
      <c r="B118" s="104" t="s">
        <v>202</v>
      </c>
      <c r="C118" s="115"/>
      <c r="D118" s="115"/>
      <c r="E118" s="157" t="e">
        <f>#REF!-D118</f>
        <v>#REF!</v>
      </c>
    </row>
    <row r="119" spans="1:5" ht="48" hidden="1" x14ac:dyDescent="0.25">
      <c r="A119" s="158" t="s">
        <v>24</v>
      </c>
      <c r="B119" s="104" t="s">
        <v>167</v>
      </c>
      <c r="C119" s="115"/>
      <c r="D119" s="115"/>
      <c r="E119" s="157" t="e">
        <f>#REF!-D119</f>
        <v>#REF!</v>
      </c>
    </row>
    <row r="120" spans="1:5" ht="24" hidden="1" x14ac:dyDescent="0.25">
      <c r="A120" s="159" t="s">
        <v>168</v>
      </c>
      <c r="B120" s="104" t="s">
        <v>616</v>
      </c>
      <c r="C120" s="115"/>
      <c r="D120" s="115"/>
      <c r="E120" s="157" t="e">
        <f>#REF!-D120</f>
        <v>#REF!</v>
      </c>
    </row>
    <row r="121" spans="1:5" ht="24" hidden="1" x14ac:dyDescent="0.25">
      <c r="A121" s="159" t="s">
        <v>441</v>
      </c>
      <c r="B121" s="104" t="s">
        <v>134</v>
      </c>
      <c r="C121" s="115"/>
      <c r="D121" s="115"/>
      <c r="E121" s="157" t="e">
        <f>#REF!-D121</f>
        <v>#REF!</v>
      </c>
    </row>
    <row r="122" spans="1:5" ht="15.75" hidden="1" x14ac:dyDescent="0.25">
      <c r="A122" s="158" t="s">
        <v>617</v>
      </c>
      <c r="B122" s="104" t="s">
        <v>135</v>
      </c>
      <c r="C122" s="115"/>
      <c r="D122" s="115"/>
      <c r="E122" s="157" t="e">
        <f>#REF!-D122</f>
        <v>#REF!</v>
      </c>
    </row>
    <row r="123" spans="1:5" ht="15.75" hidden="1" x14ac:dyDescent="0.25">
      <c r="A123" s="158" t="s">
        <v>442</v>
      </c>
      <c r="B123" s="104" t="s">
        <v>443</v>
      </c>
      <c r="C123" s="115"/>
      <c r="D123" s="115"/>
      <c r="E123" s="157" t="e">
        <f>#REF!-D123</f>
        <v>#REF!</v>
      </c>
    </row>
    <row r="124" spans="1:5" ht="15.75" hidden="1" x14ac:dyDescent="0.25">
      <c r="A124" s="158" t="s">
        <v>444</v>
      </c>
      <c r="B124" s="104" t="s">
        <v>445</v>
      </c>
      <c r="C124" s="115"/>
      <c r="D124" s="115"/>
      <c r="E124" s="157" t="e">
        <f>#REF!-D124</f>
        <v>#REF!</v>
      </c>
    </row>
    <row r="125" spans="1:5" ht="36" hidden="1" x14ac:dyDescent="0.25">
      <c r="A125" s="158" t="s">
        <v>151</v>
      </c>
      <c r="B125" s="104" t="s">
        <v>152</v>
      </c>
      <c r="C125" s="115"/>
      <c r="D125" s="115"/>
      <c r="E125" s="157" t="e">
        <f>#REF!-D125</f>
        <v>#REF!</v>
      </c>
    </row>
    <row r="126" spans="1:5" ht="24" hidden="1" x14ac:dyDescent="0.25">
      <c r="A126" s="158" t="s">
        <v>446</v>
      </c>
      <c r="B126" s="104" t="s">
        <v>136</v>
      </c>
      <c r="C126" s="115"/>
      <c r="D126" s="115"/>
      <c r="E126" s="157" t="e">
        <f>#REF!-D126</f>
        <v>#REF!</v>
      </c>
    </row>
    <row r="127" spans="1:5" ht="24" hidden="1" x14ac:dyDescent="0.25">
      <c r="A127" s="158" t="s">
        <v>447</v>
      </c>
      <c r="B127" s="104" t="s">
        <v>448</v>
      </c>
      <c r="C127" s="115"/>
      <c r="D127" s="115"/>
      <c r="E127" s="157" t="e">
        <f>#REF!-D127</f>
        <v>#REF!</v>
      </c>
    </row>
    <row r="128" spans="1:5" ht="38.25" hidden="1" x14ac:dyDescent="0.25">
      <c r="A128" s="158" t="s">
        <v>112</v>
      </c>
      <c r="B128" s="97" t="s">
        <v>449</v>
      </c>
      <c r="C128" s="115"/>
      <c r="D128" s="115"/>
      <c r="E128" s="157" t="e">
        <f>#REF!-D128</f>
        <v>#REF!</v>
      </c>
    </row>
    <row r="129" spans="1:5" ht="15.75" hidden="1" x14ac:dyDescent="0.25">
      <c r="A129" s="158" t="s">
        <v>450</v>
      </c>
      <c r="B129" s="104" t="s">
        <v>451</v>
      </c>
      <c r="C129" s="115"/>
      <c r="D129" s="115"/>
      <c r="E129" s="157" t="e">
        <f>#REF!-D129</f>
        <v>#REF!</v>
      </c>
    </row>
    <row r="130" spans="1:5" ht="24" hidden="1" x14ac:dyDescent="0.25">
      <c r="A130" s="158" t="s">
        <v>115</v>
      </c>
      <c r="B130" s="104" t="s">
        <v>630</v>
      </c>
      <c r="C130" s="115"/>
      <c r="D130" s="115"/>
      <c r="E130" s="157" t="e">
        <f>#REF!-D130</f>
        <v>#REF!</v>
      </c>
    </row>
    <row r="131" spans="1:5" ht="15.75" hidden="1" x14ac:dyDescent="0.25">
      <c r="A131" s="108" t="s">
        <v>1632</v>
      </c>
      <c r="B131" s="99" t="s">
        <v>117</v>
      </c>
      <c r="C131" s="114">
        <f>C133+C135</f>
        <v>0</v>
      </c>
      <c r="D131" s="114">
        <f>D133+D135</f>
        <v>0</v>
      </c>
      <c r="E131" s="157" t="e">
        <f>#REF!-D131</f>
        <v>#REF!</v>
      </c>
    </row>
    <row r="132" spans="1:5" ht="15.75" hidden="1" x14ac:dyDescent="0.25">
      <c r="A132" s="108" t="s">
        <v>1632</v>
      </c>
      <c r="B132" s="99" t="s">
        <v>117</v>
      </c>
      <c r="C132" s="115">
        <f>C135</f>
        <v>0</v>
      </c>
      <c r="D132" s="115">
        <f>D135</f>
        <v>0</v>
      </c>
      <c r="E132" s="157" t="e">
        <f>#REF!-D132</f>
        <v>#REF!</v>
      </c>
    </row>
    <row r="133" spans="1:5" ht="15.75" hidden="1" x14ac:dyDescent="0.25">
      <c r="A133" s="108" t="s">
        <v>456</v>
      </c>
      <c r="B133" s="100" t="s">
        <v>453</v>
      </c>
      <c r="C133" s="241">
        <f>C134</f>
        <v>0</v>
      </c>
      <c r="D133" s="241">
        <f>D134</f>
        <v>0</v>
      </c>
      <c r="E133" s="157" t="e">
        <f>#REF!-D133</f>
        <v>#REF!</v>
      </c>
    </row>
    <row r="134" spans="1:5" ht="15.75" hidden="1" x14ac:dyDescent="0.25">
      <c r="A134" s="108" t="s">
        <v>457</v>
      </c>
      <c r="B134" s="100" t="s">
        <v>90</v>
      </c>
      <c r="C134" s="115"/>
      <c r="D134" s="115"/>
      <c r="E134" s="157" t="e">
        <f>#REF!-D134</f>
        <v>#REF!</v>
      </c>
    </row>
    <row r="135" spans="1:5" ht="15.75" hidden="1" x14ac:dyDescent="0.25">
      <c r="A135" s="108" t="s">
        <v>1633</v>
      </c>
      <c r="B135" s="100" t="s">
        <v>455</v>
      </c>
      <c r="C135" s="241">
        <f>C136</f>
        <v>0</v>
      </c>
      <c r="D135" s="241">
        <f>D136</f>
        <v>0</v>
      </c>
      <c r="E135" s="157" t="e">
        <f>#REF!-D135</f>
        <v>#REF!</v>
      </c>
    </row>
    <row r="136" spans="1:5" ht="15.75" hidden="1" x14ac:dyDescent="0.25">
      <c r="A136" s="108" t="s">
        <v>1634</v>
      </c>
      <c r="B136" s="100" t="s">
        <v>120</v>
      </c>
      <c r="C136" s="115"/>
      <c r="D136" s="115"/>
      <c r="E136" s="366" t="e">
        <f>#REF!-D136</f>
        <v>#REF!</v>
      </c>
    </row>
    <row r="137" spans="1:5" hidden="1" x14ac:dyDescent="0.2">
      <c r="C137" s="670">
        <f>C85+C73+C69+C56</f>
        <v>5167.5</v>
      </c>
    </row>
  </sheetData>
  <autoFilter ref="A5:J137">
    <filterColumn colId="3">
      <filters>
        <filter val="1 754,5"/>
        <filter val="1 800,0"/>
        <filter val="104 216,4"/>
        <filter val="110,0"/>
        <filter val="12 400,0"/>
        <filter val="120,0"/>
        <filter val="143,0"/>
        <filter val="15 100,0"/>
        <filter val="15 307,4"/>
        <filter val="150,0"/>
        <filter val="190,3"/>
        <filter val="2 017,5"/>
        <filter val="2 500,0"/>
        <filter val="2 689,9"/>
        <filter val="2 800,0"/>
        <filter val="200,0"/>
        <filter val="250,0"/>
        <filter val="450,0"/>
        <filter val="550,0"/>
        <filter val="56,1"/>
        <filter val="62 647,2"/>
        <filter val="63 251,6"/>
        <filter val="800,0"/>
        <filter val="82,0"/>
        <filter val="98,0"/>
      </filters>
    </filterColumn>
  </autoFilter>
  <mergeCells count="1">
    <mergeCell ref="A3:D3"/>
  </mergeCells>
  <phoneticPr fontId="26" type="noConversion"/>
  <pageMargins left="0.71" right="0.19685039370078741" top="0.23622047244094491" bottom="0.19685039370078741" header="0.55118110236220474" footer="0.19685039370078741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  <pageSetUpPr fitToPage="1"/>
  </sheetPr>
  <dimension ref="A1:AS317"/>
  <sheetViews>
    <sheetView zoomScale="85" zoomScaleNormal="85" zoomScaleSheetLayoutView="8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E18" sqref="E18"/>
    </sheetView>
  </sheetViews>
  <sheetFormatPr defaultRowHeight="12.75" x14ac:dyDescent="0.2"/>
  <cols>
    <col min="1" max="1" width="7" style="65" customWidth="1"/>
    <col min="2" max="2" width="23" style="141" customWidth="1"/>
    <col min="3" max="3" width="69.5703125" style="554" customWidth="1"/>
    <col min="4" max="4" width="15.42578125" style="141" hidden="1" customWidth="1"/>
    <col min="5" max="5" width="14.5703125" style="141" customWidth="1"/>
    <col min="6" max="6" width="14.5703125" style="141" hidden="1" customWidth="1"/>
    <col min="7" max="7" width="14.5703125" style="141" customWidth="1"/>
    <col min="8" max="8" width="21.28515625" style="141" hidden="1" customWidth="1"/>
    <col min="9" max="9" width="23" style="141" hidden="1" customWidth="1"/>
    <col min="10" max="10" width="20.5703125" style="141" hidden="1" customWidth="1"/>
    <col min="11" max="11" width="9.140625" style="141" hidden="1" customWidth="1"/>
    <col min="12" max="12" width="17" style="141" hidden="1" customWidth="1"/>
    <col min="13" max="13" width="17.85546875" style="367" customWidth="1"/>
    <col min="14" max="14" width="15.5703125" style="141" customWidth="1"/>
    <col min="15" max="15" width="9.140625" style="141" customWidth="1"/>
    <col min="16" max="16" width="22.28515625" style="141" customWidth="1"/>
    <col min="17" max="35" width="9.140625" style="141" customWidth="1"/>
    <col min="36" max="36" width="13.85546875" style="141" customWidth="1"/>
    <col min="37" max="37" width="10.7109375" customWidth="1"/>
    <col min="39" max="39" width="10" customWidth="1"/>
    <col min="44" max="44" width="28" customWidth="1"/>
  </cols>
  <sheetData>
    <row r="1" spans="1:39" x14ac:dyDescent="0.2">
      <c r="A1" s="83"/>
      <c r="D1" s="162"/>
      <c r="E1" s="162" t="s">
        <v>966</v>
      </c>
      <c r="G1" s="162"/>
      <c r="AJ1" s="162" t="s">
        <v>515</v>
      </c>
    </row>
    <row r="2" spans="1:39" x14ac:dyDescent="0.2">
      <c r="A2" s="83"/>
    </row>
    <row r="3" spans="1:39" x14ac:dyDescent="0.2">
      <c r="A3" s="760" t="s">
        <v>1843</v>
      </c>
      <c r="B3" s="760"/>
      <c r="C3" s="760"/>
      <c r="G3" s="239" t="e">
        <f>F7+'прил1 доходы 2024'!#REF!</f>
        <v>#REF!</v>
      </c>
    </row>
    <row r="4" spans="1:39" x14ac:dyDescent="0.2">
      <c r="A4" s="84"/>
      <c r="D4" s="162"/>
      <c r="E4" s="162"/>
      <c r="F4" s="141" t="s">
        <v>201</v>
      </c>
      <c r="G4" s="239" t="e">
        <f>E7+'прил1 доходы 2024'!#REF!</f>
        <v>#REF!</v>
      </c>
      <c r="H4" s="239">
        <f>D7+'прил1 доходы 2024'!C6</f>
        <v>1903402.2828299999</v>
      </c>
      <c r="I4" s="452">
        <v>1401485.0686999999</v>
      </c>
      <c r="J4" s="418">
        <f>E7-I4</f>
        <v>676178.22993000038</v>
      </c>
    </row>
    <row r="5" spans="1:39" ht="18.75" customHeight="1" x14ac:dyDescent="0.2">
      <c r="A5" s="765" t="s">
        <v>1061</v>
      </c>
      <c r="B5" s="763" t="s">
        <v>200</v>
      </c>
      <c r="C5" s="761" t="s">
        <v>198</v>
      </c>
      <c r="D5" s="759" t="s">
        <v>1981</v>
      </c>
      <c r="E5" s="759" t="s">
        <v>1980</v>
      </c>
      <c r="F5" s="759" t="s">
        <v>234</v>
      </c>
      <c r="G5" s="259" t="s">
        <v>790</v>
      </c>
      <c r="H5" s="239" t="e">
        <f>'прил1 доходы 2024'!#REF!+'безвоз 2024 пр.2'!E7</f>
        <v>#REF!</v>
      </c>
      <c r="I5" s="452">
        <v>1401529.90301</v>
      </c>
      <c r="J5" s="418">
        <f>E8-I5</f>
        <v>673448.41018000036</v>
      </c>
      <c r="AJ5" s="759" t="s">
        <v>1255</v>
      </c>
      <c r="AM5" t="s">
        <v>1289</v>
      </c>
    </row>
    <row r="6" spans="1:39" ht="21" customHeight="1" x14ac:dyDescent="0.2">
      <c r="A6" s="766"/>
      <c r="B6" s="764"/>
      <c r="C6" s="762"/>
      <c r="D6" s="759"/>
      <c r="E6" s="759"/>
      <c r="F6" s="759"/>
      <c r="G6" s="413">
        <f>D7-D9-D150</f>
        <v>1425690.0494799998</v>
      </c>
      <c r="M6" s="367" t="s">
        <v>1182</v>
      </c>
      <c r="AJ6" s="759"/>
    </row>
    <row r="7" spans="1:39" ht="15" x14ac:dyDescent="0.2">
      <c r="A7" s="85" t="s">
        <v>99</v>
      </c>
      <c r="B7" s="191" t="s">
        <v>163</v>
      </c>
      <c r="C7" s="530" t="s">
        <v>257</v>
      </c>
      <c r="D7" s="140">
        <f>D8+D285+D291+D278+D273</f>
        <v>1799085.8494799999</v>
      </c>
      <c r="E7" s="140">
        <f>E8+E285+E291+E278+E273</f>
        <v>2077663.2986300003</v>
      </c>
      <c r="F7" s="140">
        <f>F8+F285+F291+F278+F273</f>
        <v>278577.44915000017</v>
      </c>
      <c r="G7" s="213" t="e">
        <f>F7+'прил1 доходы 2024'!#REF!</f>
        <v>#REF!</v>
      </c>
      <c r="H7" s="239">
        <f>D7-D9</f>
        <v>1589532.5494799998</v>
      </c>
      <c r="I7" s="239">
        <f>D7-D208+D247</f>
        <v>1750098.8237799997</v>
      </c>
      <c r="J7" s="141">
        <v>973791.75109999999</v>
      </c>
      <c r="L7" s="414" t="e">
        <f>E7+'прил1 доходы 2024'!#REF!</f>
        <v>#REF!</v>
      </c>
      <c r="M7" s="465">
        <v>2077663.2986300001</v>
      </c>
      <c r="N7" s="414">
        <f>M7-E7</f>
        <v>0</v>
      </c>
      <c r="P7" s="657">
        <v>2225853.2508100001</v>
      </c>
      <c r="AJ7" s="140" t="e">
        <f>AJ8+AJ285+AJ291+AJ278+AJ273</f>
        <v>#REF!</v>
      </c>
      <c r="AK7" s="89" t="e">
        <f>D7-AJ7</f>
        <v>#REF!</v>
      </c>
      <c r="AM7">
        <f>SUM(AM9:AM250)</f>
        <v>436425.6</v>
      </c>
    </row>
    <row r="8" spans="1:39" ht="16.5" customHeight="1" x14ac:dyDescent="0.2">
      <c r="A8" s="198" t="s">
        <v>99</v>
      </c>
      <c r="B8" s="199" t="s">
        <v>162</v>
      </c>
      <c r="C8" s="531" t="s">
        <v>258</v>
      </c>
      <c r="D8" s="226">
        <f>D9+D18+D162+D208</f>
        <v>1798593.6589899999</v>
      </c>
      <c r="E8" s="226">
        <f>E9+E18+E162+E208</f>
        <v>2074978.3131900004</v>
      </c>
      <c r="F8" s="226">
        <f>F9+F18+F162+F208</f>
        <v>276384.65420000022</v>
      </c>
      <c r="G8" s="415">
        <f>E7-E211-E285-E291</f>
        <v>2072325.8874900003</v>
      </c>
      <c r="H8" s="239">
        <f>E8-E211</f>
        <v>2067644.8874900003</v>
      </c>
      <c r="J8" s="414">
        <f>J7-E7</f>
        <v>-1103871.5475300003</v>
      </c>
      <c r="M8" s="367">
        <v>2074978.3131900001</v>
      </c>
      <c r="N8" s="414">
        <f>M8-E8</f>
        <v>0</v>
      </c>
      <c r="P8" s="657">
        <v>2224537.9669900001</v>
      </c>
      <c r="AJ8" s="226" t="e">
        <f>AJ9+AJ18+AJ162+AJ208</f>
        <v>#REF!</v>
      </c>
      <c r="AK8" s="89" t="e">
        <f t="shared" ref="AK8:AK89" si="0">D8-AJ8</f>
        <v>#REF!</v>
      </c>
    </row>
    <row r="9" spans="1:39" ht="16.5" customHeight="1" x14ac:dyDescent="0.2">
      <c r="A9" s="85" t="s">
        <v>99</v>
      </c>
      <c r="B9" s="192" t="s">
        <v>885</v>
      </c>
      <c r="C9" s="532" t="s">
        <v>1155</v>
      </c>
      <c r="D9" s="221">
        <f>D10+D12+D14</f>
        <v>209553.3</v>
      </c>
      <c r="E9" s="221">
        <f>E10+E12+E14</f>
        <v>209728.3</v>
      </c>
      <c r="F9" s="221">
        <f>F10+F12+F14</f>
        <v>175</v>
      </c>
      <c r="G9" s="416"/>
      <c r="H9" s="239">
        <f>E7+'прил1 доходы 2024'!D6</f>
        <v>2189861.0919800005</v>
      </c>
      <c r="M9" s="367">
        <v>209628.3</v>
      </c>
      <c r="AJ9" s="221">
        <f>AJ10+AJ12+AJ14</f>
        <v>189216</v>
      </c>
      <c r="AK9" s="89">
        <f t="shared" si="0"/>
        <v>20337.299999999988</v>
      </c>
    </row>
    <row r="10" spans="1:39" ht="17.25" customHeight="1" x14ac:dyDescent="0.2">
      <c r="A10" s="197" t="s">
        <v>99</v>
      </c>
      <c r="B10" s="194" t="s">
        <v>886</v>
      </c>
      <c r="C10" s="533" t="s">
        <v>1154</v>
      </c>
      <c r="D10" s="222">
        <f>D11</f>
        <v>206553.3</v>
      </c>
      <c r="E10" s="222">
        <f>E11</f>
        <v>206553.3</v>
      </c>
      <c r="F10" s="222">
        <f>F11</f>
        <v>0</v>
      </c>
      <c r="G10" s="417"/>
      <c r="H10" s="418">
        <f>E7+'прил1 доходы 2024'!D6</f>
        <v>2189861.0919800005</v>
      </c>
      <c r="AJ10" s="222">
        <f>AJ11</f>
        <v>189216</v>
      </c>
      <c r="AK10" s="89">
        <f t="shared" si="0"/>
        <v>17337.299999999988</v>
      </c>
    </row>
    <row r="11" spans="1:39" ht="17.25" customHeight="1" x14ac:dyDescent="0.2">
      <c r="A11" s="86">
        <v>960</v>
      </c>
      <c r="B11" s="80" t="s">
        <v>887</v>
      </c>
      <c r="C11" s="530" t="s">
        <v>281</v>
      </c>
      <c r="D11" s="634">
        <f>205935.5+617.8</f>
        <v>206553.3</v>
      </c>
      <c r="E11" s="634">
        <f>205935.5+617.8</f>
        <v>206553.3</v>
      </c>
      <c r="F11" s="140">
        <f t="shared" ref="F11:F85" si="1">E11-D11</f>
        <v>0</v>
      </c>
      <c r="G11" s="213">
        <v>3603.9</v>
      </c>
      <c r="H11" s="239" t="e">
        <f>E7+'прил1 доходы 2024'!#REF!</f>
        <v>#REF!</v>
      </c>
      <c r="J11" s="239">
        <f>D11+D21+D27+D62+D74+D78+D84+D121+D122+D126+D127+D132+D136+D137+D138+D139+D143+D144+D145+D146+D150+D153+D154+D155+D160+D161+D164+D168+D169+D173+D174+D176+D177+D178+D179+D182+D183+D185+D186+D187+D189+D190+D191+D193+D194+D195+D198+D204+D205+D206+D213+D215+D216+D217+D111+D268</f>
        <v>1112156.4861499998</v>
      </c>
      <c r="N11" s="240">
        <v>206553.3</v>
      </c>
      <c r="AJ11" s="140">
        <v>189216</v>
      </c>
      <c r="AK11" s="89">
        <f t="shared" si="0"/>
        <v>17337.299999999988</v>
      </c>
    </row>
    <row r="12" spans="1:39" ht="15.75" customHeight="1" x14ac:dyDescent="0.2">
      <c r="A12" s="197" t="s">
        <v>99</v>
      </c>
      <c r="B12" s="194" t="s">
        <v>888</v>
      </c>
      <c r="C12" s="268" t="s">
        <v>1487</v>
      </c>
      <c r="D12" s="222">
        <f>D13</f>
        <v>3000</v>
      </c>
      <c r="E12" s="222">
        <f>E13</f>
        <v>3000</v>
      </c>
      <c r="F12" s="222">
        <f t="shared" si="1"/>
        <v>0</v>
      </c>
      <c r="G12" s="417"/>
      <c r="AJ12" s="222">
        <f>AJ13</f>
        <v>0</v>
      </c>
      <c r="AK12" s="89">
        <f t="shared" si="0"/>
        <v>3000</v>
      </c>
    </row>
    <row r="13" spans="1:39" ht="24" customHeight="1" x14ac:dyDescent="0.2">
      <c r="A13" s="88" t="s">
        <v>182</v>
      </c>
      <c r="B13" s="82" t="s">
        <v>889</v>
      </c>
      <c r="C13" s="92" t="s">
        <v>219</v>
      </c>
      <c r="D13" s="140">
        <v>3000</v>
      </c>
      <c r="E13" s="140">
        <v>3000</v>
      </c>
      <c r="F13" s="140">
        <f t="shared" si="1"/>
        <v>0</v>
      </c>
      <c r="G13" s="213"/>
      <c r="H13" s="239">
        <f>E7+'прил1 доходы 2024'!D6</f>
        <v>2189861.0919800005</v>
      </c>
      <c r="AJ13" s="140">
        <v>0</v>
      </c>
      <c r="AK13" s="89">
        <f t="shared" si="0"/>
        <v>3000</v>
      </c>
    </row>
    <row r="14" spans="1:39" ht="15" customHeight="1" x14ac:dyDescent="0.2">
      <c r="A14" s="197" t="s">
        <v>99</v>
      </c>
      <c r="B14" s="205" t="s">
        <v>890</v>
      </c>
      <c r="C14" s="204" t="s">
        <v>783</v>
      </c>
      <c r="D14" s="238">
        <f>D15</f>
        <v>0</v>
      </c>
      <c r="E14" s="238">
        <f>E15</f>
        <v>175</v>
      </c>
      <c r="F14" s="238">
        <f t="shared" si="1"/>
        <v>175</v>
      </c>
      <c r="G14" s="419"/>
      <c r="AJ14" s="238">
        <f>AJ15</f>
        <v>0</v>
      </c>
      <c r="AK14" s="89">
        <f t="shared" si="0"/>
        <v>0</v>
      </c>
    </row>
    <row r="15" spans="1:39" ht="15" x14ac:dyDescent="0.2">
      <c r="A15" s="110" t="s">
        <v>99</v>
      </c>
      <c r="B15" s="80" t="s">
        <v>891</v>
      </c>
      <c r="C15" s="92" t="s">
        <v>220</v>
      </c>
      <c r="D15" s="140">
        <f>D16+D17</f>
        <v>0</v>
      </c>
      <c r="E15" s="140">
        <f t="shared" ref="E15:F15" si="2">E16+E17</f>
        <v>175</v>
      </c>
      <c r="F15" s="140">
        <f t="shared" si="2"/>
        <v>175</v>
      </c>
      <c r="G15" s="213"/>
      <c r="AJ15" s="140">
        <f>AJ16</f>
        <v>0</v>
      </c>
      <c r="AK15" s="89">
        <f t="shared" si="0"/>
        <v>0</v>
      </c>
    </row>
    <row r="16" spans="1:39" ht="36" x14ac:dyDescent="0.2">
      <c r="A16" s="110" t="s">
        <v>98</v>
      </c>
      <c r="B16" s="80" t="s">
        <v>891</v>
      </c>
      <c r="C16" s="91" t="s">
        <v>1990</v>
      </c>
      <c r="D16" s="140"/>
      <c r="E16" s="140">
        <v>75</v>
      </c>
      <c r="F16" s="140">
        <f t="shared" si="1"/>
        <v>75</v>
      </c>
      <c r="G16" s="213"/>
      <c r="AJ16" s="140"/>
      <c r="AK16" s="89">
        <f t="shared" si="0"/>
        <v>0</v>
      </c>
    </row>
    <row r="17" spans="1:43" ht="36" x14ac:dyDescent="0.2">
      <c r="A17" s="110" t="s">
        <v>970</v>
      </c>
      <c r="B17" s="80" t="s">
        <v>891</v>
      </c>
      <c r="C17" s="91" t="s">
        <v>1999</v>
      </c>
      <c r="D17" s="140"/>
      <c r="E17" s="140">
        <v>100</v>
      </c>
      <c r="F17" s="140">
        <f t="shared" si="1"/>
        <v>100</v>
      </c>
      <c r="G17" s="213"/>
      <c r="AJ17" s="140"/>
      <c r="AK17" s="89"/>
    </row>
    <row r="18" spans="1:43" ht="26.25" customHeight="1" x14ac:dyDescent="0.2">
      <c r="A18" s="85" t="s">
        <v>99</v>
      </c>
      <c r="B18" s="192" t="s">
        <v>892</v>
      </c>
      <c r="C18" s="534" t="s">
        <v>1153</v>
      </c>
      <c r="D18" s="221">
        <f>D39+D118+D76+D72+D25+D45+D79+D82+D85+D88+D57+D60+D19+D22+D108+D42+D33+D63+D66+D69+D36+D112+D105+D30+D48+D51+D54+D102+D115</f>
        <v>1069097.1082899999</v>
      </c>
      <c r="E18" s="221">
        <f>E39+E118+E76+E72+E25+E45+E79+E82+E85+E88+E57+E60+E19+E22+E108+E42+E33+E63+E66+E69+E36+E112+E105+E30+E48+E51+E54+E102+E115</f>
        <v>1104321.9936400002</v>
      </c>
      <c r="F18" s="221">
        <f>F39+F118+F76+F72+F25+F45+F79+F82+F85+F88+F57+F60+F19+F22+F108+F42+F33+F63+F66+F69+F36+F112+F105+F30+F48+F51+F54+F102+F115</f>
        <v>35224.885350000171</v>
      </c>
      <c r="G18" s="416">
        <f>F19+F22+F33+F51+F57+F76+F105+F118</f>
        <v>35224.885350000171</v>
      </c>
      <c r="M18" s="367">
        <v>1104321.99364</v>
      </c>
      <c r="N18" s="414">
        <f>M18-E18</f>
        <v>0</v>
      </c>
      <c r="AJ18" s="221" t="e">
        <f>AJ39+AJ118+AJ76+AJ72+AJ25+AJ45+AJ79+AJ82+AJ85+AJ88+AJ57+AJ60+AJ19+AJ22+AJ108+AJ42</f>
        <v>#REF!</v>
      </c>
      <c r="AK18" s="89" t="e">
        <f t="shared" si="0"/>
        <v>#REF!</v>
      </c>
    </row>
    <row r="19" spans="1:43" ht="64.5" hidden="1" customHeight="1" x14ac:dyDescent="0.2">
      <c r="A19" s="193" t="s">
        <v>99</v>
      </c>
      <c r="B19" s="194" t="s">
        <v>1043</v>
      </c>
      <c r="C19" s="278" t="s">
        <v>1839</v>
      </c>
      <c r="D19" s="254">
        <f t="shared" ref="D19:F20" si="3">D20</f>
        <v>0</v>
      </c>
      <c r="E19" s="254">
        <f t="shared" si="3"/>
        <v>0</v>
      </c>
      <c r="F19" s="254">
        <f t="shared" si="3"/>
        <v>0</v>
      </c>
      <c r="G19" s="416" t="e">
        <f>G3</f>
        <v>#REF!</v>
      </c>
      <c r="AJ19" s="254">
        <f>AJ20</f>
        <v>0</v>
      </c>
      <c r="AK19" s="89">
        <f t="shared" si="0"/>
        <v>0</v>
      </c>
    </row>
    <row r="20" spans="1:43" ht="64.5" hidden="1" customHeight="1" x14ac:dyDescent="0.25">
      <c r="A20" s="134" t="s">
        <v>99</v>
      </c>
      <c r="B20" s="80" t="s">
        <v>1044</v>
      </c>
      <c r="C20" s="279" t="s">
        <v>1839</v>
      </c>
      <c r="D20" s="256">
        <f t="shared" si="3"/>
        <v>0</v>
      </c>
      <c r="E20" s="256">
        <f t="shared" si="3"/>
        <v>0</v>
      </c>
      <c r="F20" s="256">
        <f t="shared" si="3"/>
        <v>0</v>
      </c>
      <c r="G20" s="416"/>
      <c r="L20" s="420" t="s">
        <v>1096</v>
      </c>
      <c r="AJ20" s="256">
        <f>AJ21</f>
        <v>0</v>
      </c>
      <c r="AK20" s="89">
        <f t="shared" si="0"/>
        <v>0</v>
      </c>
    </row>
    <row r="21" spans="1:43" ht="63" hidden="1" customHeight="1" x14ac:dyDescent="0.2">
      <c r="A21" s="134" t="s">
        <v>204</v>
      </c>
      <c r="B21" s="80" t="s">
        <v>1044</v>
      </c>
      <c r="C21" s="279" t="s">
        <v>1839</v>
      </c>
      <c r="D21" s="256"/>
      <c r="E21" s="256"/>
      <c r="F21" s="256">
        <f t="shared" si="1"/>
        <v>0</v>
      </c>
      <c r="G21" s="416"/>
      <c r="AJ21" s="256"/>
      <c r="AK21" s="89">
        <f t="shared" si="0"/>
        <v>0</v>
      </c>
      <c r="AM21" s="291">
        <v>235379.6</v>
      </c>
    </row>
    <row r="22" spans="1:43" ht="54" hidden="1" customHeight="1" x14ac:dyDescent="0.2">
      <c r="A22" s="193" t="s">
        <v>99</v>
      </c>
      <c r="B22" s="194" t="s">
        <v>1045</v>
      </c>
      <c r="C22" s="269" t="s">
        <v>1046</v>
      </c>
      <c r="D22" s="254">
        <f>D23</f>
        <v>0</v>
      </c>
      <c r="E22" s="254">
        <f>E23</f>
        <v>0</v>
      </c>
      <c r="F22" s="254">
        <f t="shared" si="1"/>
        <v>0</v>
      </c>
      <c r="G22" s="416"/>
      <c r="AJ22" s="254">
        <f>AJ23</f>
        <v>0</v>
      </c>
      <c r="AK22" s="89">
        <f t="shared" si="0"/>
        <v>0</v>
      </c>
    </row>
    <row r="23" spans="1:43" ht="55.5" hidden="1" customHeight="1" x14ac:dyDescent="0.2">
      <c r="A23" s="134" t="s">
        <v>99</v>
      </c>
      <c r="B23" s="80" t="s">
        <v>1047</v>
      </c>
      <c r="C23" s="270" t="s">
        <v>958</v>
      </c>
      <c r="D23" s="257">
        <f>D24</f>
        <v>0</v>
      </c>
      <c r="E23" s="257">
        <f>E24</f>
        <v>0</v>
      </c>
      <c r="F23" s="257">
        <f t="shared" si="1"/>
        <v>0</v>
      </c>
      <c r="G23" s="416"/>
      <c r="AJ23" s="257">
        <f>AJ24</f>
        <v>0</v>
      </c>
      <c r="AK23" s="89">
        <f t="shared" si="0"/>
        <v>0</v>
      </c>
      <c r="AP23">
        <f>AP24/AQ24*100</f>
        <v>100</v>
      </c>
    </row>
    <row r="24" spans="1:43" ht="54.75" hidden="1" customHeight="1" x14ac:dyDescent="0.2">
      <c r="A24" s="134" t="s">
        <v>204</v>
      </c>
      <c r="B24" s="80" t="s">
        <v>1047</v>
      </c>
      <c r="C24" s="270" t="s">
        <v>958</v>
      </c>
      <c r="D24" s="257">
        <v>0</v>
      </c>
      <c r="E24" s="257"/>
      <c r="F24" s="257">
        <f t="shared" si="1"/>
        <v>0</v>
      </c>
      <c r="G24" s="416"/>
      <c r="AJ24" s="257"/>
      <c r="AK24" s="89">
        <f t="shared" si="0"/>
        <v>0</v>
      </c>
      <c r="AO24" s="89">
        <f>D21+D24</f>
        <v>0</v>
      </c>
      <c r="AP24">
        <v>480.36655999999999</v>
      </c>
      <c r="AQ24" s="89">
        <f>SUM(AO24:AP24)</f>
        <v>480.36655999999999</v>
      </c>
    </row>
    <row r="25" spans="1:43" ht="24.75" hidden="1" customHeight="1" x14ac:dyDescent="0.2">
      <c r="A25" s="193" t="s">
        <v>99</v>
      </c>
      <c r="B25" s="194" t="s">
        <v>982</v>
      </c>
      <c r="C25" s="278" t="s">
        <v>978</v>
      </c>
      <c r="D25" s="222">
        <f>D26</f>
        <v>0</v>
      </c>
      <c r="E25" s="222">
        <f>E26</f>
        <v>0</v>
      </c>
      <c r="F25" s="222">
        <f t="shared" si="1"/>
        <v>0</v>
      </c>
      <c r="G25" s="417"/>
      <c r="AJ25" s="222">
        <f>AJ26</f>
        <v>32282.6</v>
      </c>
      <c r="AK25" s="89">
        <f t="shared" si="0"/>
        <v>-32282.6</v>
      </c>
    </row>
    <row r="26" spans="1:43" ht="24.75" hidden="1" customHeight="1" x14ac:dyDescent="0.2">
      <c r="A26" s="134" t="s">
        <v>99</v>
      </c>
      <c r="B26" s="80" t="s">
        <v>983</v>
      </c>
      <c r="C26" s="276" t="s">
        <v>979</v>
      </c>
      <c r="D26" s="223">
        <f>D27+D28</f>
        <v>0</v>
      </c>
      <c r="E26" s="223">
        <f>E27+E28</f>
        <v>0</v>
      </c>
      <c r="F26" s="223">
        <f t="shared" si="1"/>
        <v>0</v>
      </c>
      <c r="G26" s="214"/>
      <c r="AJ26" s="223">
        <f>AJ27+AJ28</f>
        <v>32282.6</v>
      </c>
      <c r="AK26" s="89">
        <f t="shared" si="0"/>
        <v>-32282.6</v>
      </c>
    </row>
    <row r="27" spans="1:43" ht="24.75" hidden="1" customHeight="1" x14ac:dyDescent="0.2">
      <c r="A27" s="110" t="s">
        <v>204</v>
      </c>
      <c r="B27" s="80" t="s">
        <v>983</v>
      </c>
      <c r="C27" s="276" t="s">
        <v>979</v>
      </c>
      <c r="D27" s="140"/>
      <c r="E27" s="140"/>
      <c r="F27" s="140">
        <f t="shared" si="1"/>
        <v>0</v>
      </c>
      <c r="G27" s="213"/>
      <c r="AJ27" s="140">
        <v>32282.6</v>
      </c>
      <c r="AK27" s="89">
        <f t="shared" si="0"/>
        <v>-32282.6</v>
      </c>
      <c r="AM27" s="291">
        <v>30345.5</v>
      </c>
    </row>
    <row r="28" spans="1:43" ht="18.75" hidden="1" customHeight="1" x14ac:dyDescent="0.2">
      <c r="A28" s="110" t="s">
        <v>98</v>
      </c>
      <c r="B28" s="80"/>
      <c r="C28" s="92" t="s">
        <v>133</v>
      </c>
      <c r="D28" s="140">
        <f>D29</f>
        <v>0</v>
      </c>
      <c r="E28" s="140">
        <f>E29</f>
        <v>0</v>
      </c>
      <c r="F28" s="140">
        <f t="shared" si="1"/>
        <v>0</v>
      </c>
      <c r="G28" s="213"/>
      <c r="AJ28" s="140">
        <f>AJ29</f>
        <v>0</v>
      </c>
      <c r="AK28" s="89">
        <f t="shared" si="0"/>
        <v>0</v>
      </c>
    </row>
    <row r="29" spans="1:43" ht="27" hidden="1" customHeight="1" x14ac:dyDescent="0.2">
      <c r="A29" s="110"/>
      <c r="B29" s="80" t="s">
        <v>12</v>
      </c>
      <c r="C29" s="92" t="s">
        <v>693</v>
      </c>
      <c r="D29" s="140"/>
      <c r="E29" s="140"/>
      <c r="F29" s="140">
        <f t="shared" si="1"/>
        <v>0</v>
      </c>
      <c r="G29" s="213"/>
      <c r="AJ29" s="140"/>
      <c r="AK29" s="89">
        <f t="shared" si="0"/>
        <v>0</v>
      </c>
    </row>
    <row r="30" spans="1:43" ht="38.25" x14ac:dyDescent="0.2">
      <c r="A30" s="193" t="s">
        <v>99</v>
      </c>
      <c r="B30" s="194" t="s">
        <v>1517</v>
      </c>
      <c r="C30" s="196" t="s">
        <v>1518</v>
      </c>
      <c r="D30" s="222">
        <f>D31</f>
        <v>156.75960000000001</v>
      </c>
      <c r="E30" s="222">
        <f>E31</f>
        <v>156.75960000000001</v>
      </c>
      <c r="F30" s="222">
        <f>E30-D30</f>
        <v>0</v>
      </c>
      <c r="G30" s="213"/>
      <c r="AJ30" s="140"/>
      <c r="AK30" s="89"/>
    </row>
    <row r="31" spans="1:43" ht="36" x14ac:dyDescent="0.2">
      <c r="A31" s="110" t="s">
        <v>99</v>
      </c>
      <c r="B31" s="80" t="s">
        <v>1519</v>
      </c>
      <c r="C31" s="92" t="s">
        <v>1520</v>
      </c>
      <c r="D31" s="223">
        <f>D32</f>
        <v>156.75960000000001</v>
      </c>
      <c r="E31" s="223">
        <f>E32</f>
        <v>156.75960000000001</v>
      </c>
      <c r="F31" s="223">
        <f>E31-D31</f>
        <v>0</v>
      </c>
      <c r="G31" s="213"/>
      <c r="AJ31" s="140"/>
      <c r="AK31" s="89"/>
    </row>
    <row r="32" spans="1:43" ht="36" x14ac:dyDescent="0.2">
      <c r="A32" s="110" t="s">
        <v>970</v>
      </c>
      <c r="B32" s="80" t="s">
        <v>1521</v>
      </c>
      <c r="C32" s="92" t="s">
        <v>1520</v>
      </c>
      <c r="D32" s="140">
        <v>156.75960000000001</v>
      </c>
      <c r="E32" s="140">
        <v>156.75960000000001</v>
      </c>
      <c r="F32" s="140">
        <f>E32-D32</f>
        <v>0</v>
      </c>
      <c r="G32" s="213"/>
      <c r="AJ32" s="140"/>
      <c r="AK32" s="89"/>
    </row>
    <row r="33" spans="1:39" ht="40.5" hidden="1" customHeight="1" x14ac:dyDescent="0.2">
      <c r="A33" s="193" t="s">
        <v>99</v>
      </c>
      <c r="B33" s="194" t="s">
        <v>1811</v>
      </c>
      <c r="C33" s="196" t="s">
        <v>1814</v>
      </c>
      <c r="D33" s="222">
        <f t="shared" ref="D33:F37" si="4">D34</f>
        <v>0</v>
      </c>
      <c r="E33" s="222">
        <f t="shared" si="4"/>
        <v>0</v>
      </c>
      <c r="F33" s="222">
        <f t="shared" si="1"/>
        <v>0</v>
      </c>
      <c r="G33" s="213"/>
      <c r="AJ33" s="140"/>
      <c r="AK33" s="89"/>
    </row>
    <row r="34" spans="1:39" ht="27" hidden="1" customHeight="1" x14ac:dyDescent="0.2">
      <c r="A34" s="110" t="s">
        <v>99</v>
      </c>
      <c r="B34" s="80" t="s">
        <v>1812</v>
      </c>
      <c r="C34" s="92" t="s">
        <v>1815</v>
      </c>
      <c r="D34" s="223">
        <f t="shared" si="4"/>
        <v>0</v>
      </c>
      <c r="E34" s="223">
        <f t="shared" si="4"/>
        <v>0</v>
      </c>
      <c r="F34" s="223">
        <f t="shared" si="1"/>
        <v>0</v>
      </c>
      <c r="G34" s="213"/>
      <c r="AJ34" s="140"/>
      <c r="AK34" s="89"/>
    </row>
    <row r="35" spans="1:39" ht="27" hidden="1" customHeight="1" x14ac:dyDescent="0.2">
      <c r="A35" s="110" t="s">
        <v>180</v>
      </c>
      <c r="B35" s="80" t="s">
        <v>1813</v>
      </c>
      <c r="C35" s="92" t="s">
        <v>1815</v>
      </c>
      <c r="D35" s="140">
        <v>0</v>
      </c>
      <c r="E35" s="140">
        <v>0</v>
      </c>
      <c r="F35" s="140">
        <f t="shared" si="1"/>
        <v>0</v>
      </c>
      <c r="G35" s="213"/>
      <c r="AJ35" s="140"/>
      <c r="AK35" s="89"/>
    </row>
    <row r="36" spans="1:39" ht="19.5" hidden="1" customHeight="1" x14ac:dyDescent="0.2">
      <c r="A36" s="193" t="s">
        <v>99</v>
      </c>
      <c r="B36" s="194" t="s">
        <v>1172</v>
      </c>
      <c r="C36" s="269" t="s">
        <v>1175</v>
      </c>
      <c r="D36" s="222">
        <f t="shared" si="4"/>
        <v>0</v>
      </c>
      <c r="E36" s="222">
        <f t="shared" si="4"/>
        <v>0</v>
      </c>
      <c r="F36" s="222">
        <f t="shared" si="4"/>
        <v>0</v>
      </c>
      <c r="G36" s="213"/>
      <c r="AJ36" s="140"/>
      <c r="AK36" s="89"/>
    </row>
    <row r="37" spans="1:39" ht="24.75" hidden="1" customHeight="1" x14ac:dyDescent="0.2">
      <c r="A37" s="110" t="s">
        <v>99</v>
      </c>
      <c r="B37" s="80" t="s">
        <v>1173</v>
      </c>
      <c r="C37" s="92" t="s">
        <v>1174</v>
      </c>
      <c r="D37" s="223">
        <f t="shared" si="4"/>
        <v>0</v>
      </c>
      <c r="E37" s="223">
        <f t="shared" si="4"/>
        <v>0</v>
      </c>
      <c r="F37" s="140">
        <f t="shared" si="1"/>
        <v>0</v>
      </c>
      <c r="G37" s="213"/>
      <c r="AJ37" s="140"/>
      <c r="AK37" s="89"/>
    </row>
    <row r="38" spans="1:39" ht="24.75" hidden="1" customHeight="1" x14ac:dyDescent="0.2">
      <c r="A38" s="110" t="s">
        <v>180</v>
      </c>
      <c r="B38" s="80" t="s">
        <v>1427</v>
      </c>
      <c r="C38" s="92" t="s">
        <v>1174</v>
      </c>
      <c r="D38" s="140"/>
      <c r="E38" s="140"/>
      <c r="F38" s="140">
        <f t="shared" si="1"/>
        <v>0</v>
      </c>
      <c r="G38" s="213"/>
      <c r="AJ38" s="140"/>
      <c r="AK38" s="89"/>
    </row>
    <row r="39" spans="1:39" ht="26.25" customHeight="1" x14ac:dyDescent="0.2">
      <c r="A39" s="193" t="s">
        <v>99</v>
      </c>
      <c r="B39" s="194" t="s">
        <v>1291</v>
      </c>
      <c r="C39" s="269" t="s">
        <v>1294</v>
      </c>
      <c r="D39" s="222">
        <f>D40</f>
        <v>53623.199999999997</v>
      </c>
      <c r="E39" s="222">
        <f>E40</f>
        <v>53623.199999999997</v>
      </c>
      <c r="F39" s="222">
        <f t="shared" si="1"/>
        <v>0</v>
      </c>
      <c r="G39" s="417"/>
      <c r="H39" s="141">
        <v>2781.3</v>
      </c>
      <c r="AJ39" s="222" t="e">
        <f>AJ40</f>
        <v>#REF!</v>
      </c>
      <c r="AK39" s="89" t="e">
        <f t="shared" si="0"/>
        <v>#REF!</v>
      </c>
    </row>
    <row r="40" spans="1:39" ht="26.25" customHeight="1" x14ac:dyDescent="0.2">
      <c r="A40" s="110" t="s">
        <v>99</v>
      </c>
      <c r="B40" s="80" t="s">
        <v>1292</v>
      </c>
      <c r="C40" s="92" t="s">
        <v>1295</v>
      </c>
      <c r="D40" s="223">
        <f>D41</f>
        <v>53623.199999999997</v>
      </c>
      <c r="E40" s="223">
        <f>E41</f>
        <v>53623.199999999997</v>
      </c>
      <c r="F40" s="223">
        <f t="shared" si="1"/>
        <v>0</v>
      </c>
      <c r="G40" s="214"/>
      <c r="AJ40" s="223" t="e">
        <f>AJ41+#REF!</f>
        <v>#REF!</v>
      </c>
      <c r="AK40" s="89" t="e">
        <f t="shared" si="0"/>
        <v>#REF!</v>
      </c>
    </row>
    <row r="41" spans="1:39" ht="26.25" customHeight="1" x14ac:dyDescent="0.2">
      <c r="A41" s="246" t="s">
        <v>204</v>
      </c>
      <c r="B41" s="80" t="s">
        <v>1293</v>
      </c>
      <c r="C41" s="92" t="s">
        <v>1295</v>
      </c>
      <c r="D41" s="634">
        <v>53623.199999999997</v>
      </c>
      <c r="E41" s="634">
        <v>53623.199999999997</v>
      </c>
      <c r="F41" s="140">
        <f t="shared" si="1"/>
        <v>0</v>
      </c>
      <c r="G41" s="213"/>
      <c r="AJ41" s="140" t="e">
        <f>SUM(#REF!)</f>
        <v>#REF!</v>
      </c>
      <c r="AK41" s="89" t="e">
        <f t="shared" si="0"/>
        <v>#REF!</v>
      </c>
    </row>
    <row r="42" spans="1:39" ht="43.5" hidden="1" customHeight="1" x14ac:dyDescent="0.2">
      <c r="A42" s="193" t="s">
        <v>99</v>
      </c>
      <c r="B42" s="194" t="s">
        <v>1176</v>
      </c>
      <c r="C42" s="269" t="s">
        <v>1179</v>
      </c>
      <c r="D42" s="222">
        <f>D43</f>
        <v>0</v>
      </c>
      <c r="E42" s="222">
        <f>E43</f>
        <v>0</v>
      </c>
      <c r="F42" s="222">
        <f t="shared" si="1"/>
        <v>0</v>
      </c>
      <c r="G42" s="213"/>
      <c r="AJ42" s="222">
        <f>AJ43</f>
        <v>0</v>
      </c>
      <c r="AK42" s="89">
        <f t="shared" si="0"/>
        <v>0</v>
      </c>
    </row>
    <row r="43" spans="1:39" ht="39" hidden="1" customHeight="1" x14ac:dyDescent="0.2">
      <c r="A43" s="110" t="s">
        <v>99</v>
      </c>
      <c r="B43" s="80" t="s">
        <v>1177</v>
      </c>
      <c r="C43" s="92" t="s">
        <v>1180</v>
      </c>
      <c r="D43" s="140">
        <f>D44</f>
        <v>0</v>
      </c>
      <c r="E43" s="140">
        <f>E44</f>
        <v>0</v>
      </c>
      <c r="F43" s="140">
        <f t="shared" si="1"/>
        <v>0</v>
      </c>
      <c r="G43" s="213"/>
      <c r="AJ43" s="140">
        <f>AJ44</f>
        <v>0</v>
      </c>
      <c r="AK43" s="89">
        <f t="shared" si="0"/>
        <v>0</v>
      </c>
    </row>
    <row r="44" spans="1:39" ht="40.5" hidden="1" customHeight="1" x14ac:dyDescent="0.2">
      <c r="A44" s="110" t="s">
        <v>180</v>
      </c>
      <c r="B44" s="80" t="s">
        <v>1178</v>
      </c>
      <c r="C44" s="92" t="s">
        <v>1180</v>
      </c>
      <c r="D44" s="140"/>
      <c r="E44" s="140"/>
      <c r="F44" s="140">
        <f t="shared" si="1"/>
        <v>0</v>
      </c>
      <c r="G44" s="213"/>
      <c r="AJ44" s="140"/>
      <c r="AK44" s="89">
        <f t="shared" si="0"/>
        <v>0</v>
      </c>
    </row>
    <row r="45" spans="1:39" ht="35.25" customHeight="1" x14ac:dyDescent="0.2">
      <c r="A45" s="193" t="s">
        <v>99</v>
      </c>
      <c r="B45" s="194" t="s">
        <v>1220</v>
      </c>
      <c r="C45" s="269" t="s">
        <v>1221</v>
      </c>
      <c r="D45" s="222">
        <f>D46</f>
        <v>23166.1</v>
      </c>
      <c r="E45" s="222">
        <f>E46</f>
        <v>23166.1</v>
      </c>
      <c r="F45" s="222">
        <f t="shared" si="1"/>
        <v>0</v>
      </c>
      <c r="G45" s="417"/>
      <c r="AJ45" s="222">
        <f>AJ46</f>
        <v>1910</v>
      </c>
      <c r="AK45" s="89">
        <f t="shared" si="0"/>
        <v>21256.1</v>
      </c>
    </row>
    <row r="46" spans="1:39" ht="35.25" customHeight="1" x14ac:dyDescent="0.2">
      <c r="A46" s="110" t="s">
        <v>99</v>
      </c>
      <c r="B46" s="80" t="s">
        <v>1222</v>
      </c>
      <c r="C46" s="92" t="s">
        <v>1223</v>
      </c>
      <c r="D46" s="140">
        <f>D47</f>
        <v>23166.1</v>
      </c>
      <c r="E46" s="140">
        <f>E47</f>
        <v>23166.1</v>
      </c>
      <c r="F46" s="140">
        <f t="shared" si="1"/>
        <v>0</v>
      </c>
      <c r="G46" s="213"/>
      <c r="AJ46" s="140">
        <f>AJ47</f>
        <v>1910</v>
      </c>
      <c r="AK46" s="89">
        <f t="shared" si="0"/>
        <v>21256.1</v>
      </c>
    </row>
    <row r="47" spans="1:39" ht="35.25" customHeight="1" x14ac:dyDescent="0.2">
      <c r="A47" s="110" t="s">
        <v>180</v>
      </c>
      <c r="B47" s="80" t="s">
        <v>1224</v>
      </c>
      <c r="C47" s="92" t="s">
        <v>1223</v>
      </c>
      <c r="D47" s="634">
        <v>23166.1</v>
      </c>
      <c r="E47" s="634">
        <v>23166.1</v>
      </c>
      <c r="F47" s="140">
        <f t="shared" si="1"/>
        <v>0</v>
      </c>
      <c r="G47" s="213">
        <v>228.92</v>
      </c>
      <c r="AJ47" s="223">
        <v>1910</v>
      </c>
      <c r="AK47" s="89">
        <f t="shared" si="0"/>
        <v>21256.1</v>
      </c>
      <c r="AM47" s="412"/>
    </row>
    <row r="48" spans="1:39" ht="27.75" customHeight="1" x14ac:dyDescent="0.2">
      <c r="A48" s="193" t="s">
        <v>99</v>
      </c>
      <c r="B48" s="194" t="s">
        <v>1524</v>
      </c>
      <c r="C48" s="269" t="s">
        <v>1527</v>
      </c>
      <c r="D48" s="222">
        <f>D49</f>
        <v>230701.36</v>
      </c>
      <c r="E48" s="222">
        <f>E49</f>
        <v>230701.36</v>
      </c>
      <c r="F48" s="222">
        <f>E48-D48</f>
        <v>0</v>
      </c>
      <c r="G48" s="213"/>
      <c r="AJ48" s="223"/>
      <c r="AK48" s="89"/>
      <c r="AM48" s="412"/>
    </row>
    <row r="49" spans="1:39" ht="27" customHeight="1" x14ac:dyDescent="0.2">
      <c r="A49" s="110" t="s">
        <v>99</v>
      </c>
      <c r="B49" s="80" t="s">
        <v>1525</v>
      </c>
      <c r="C49" s="92" t="s">
        <v>1528</v>
      </c>
      <c r="D49" s="140">
        <f>D50</f>
        <v>230701.36</v>
      </c>
      <c r="E49" s="140">
        <f>E50</f>
        <v>230701.36</v>
      </c>
      <c r="F49" s="140">
        <f>E49-D49</f>
        <v>0</v>
      </c>
      <c r="G49" s="213"/>
      <c r="AJ49" s="223"/>
      <c r="AK49" s="89"/>
      <c r="AM49" s="412"/>
    </row>
    <row r="50" spans="1:39" ht="24.75" customHeight="1" x14ac:dyDescent="0.2">
      <c r="A50" s="110" t="s">
        <v>204</v>
      </c>
      <c r="B50" s="80" t="s">
        <v>1526</v>
      </c>
      <c r="C50" s="92" t="s">
        <v>1528</v>
      </c>
      <c r="D50" s="140">
        <v>230701.36</v>
      </c>
      <c r="E50" s="140">
        <v>230701.36</v>
      </c>
      <c r="F50" s="140">
        <f>E50-D50</f>
        <v>0</v>
      </c>
      <c r="G50" s="213"/>
      <c r="AJ50" s="223"/>
      <c r="AK50" s="89"/>
      <c r="AM50" s="412"/>
    </row>
    <row r="51" spans="1:39" ht="39" customHeight="1" x14ac:dyDescent="0.2">
      <c r="A51" s="193" t="s">
        <v>99</v>
      </c>
      <c r="B51" s="194" t="s">
        <v>1679</v>
      </c>
      <c r="C51" s="269" t="s">
        <v>1682</v>
      </c>
      <c r="D51" s="222">
        <f t="shared" ref="D51:F52" si="5">D52</f>
        <v>51020.4</v>
      </c>
      <c r="E51" s="222">
        <f t="shared" si="5"/>
        <v>51020.4</v>
      </c>
      <c r="F51" s="222">
        <f t="shared" si="5"/>
        <v>0</v>
      </c>
      <c r="G51" s="213"/>
      <c r="AJ51" s="223"/>
      <c r="AK51" s="89"/>
      <c r="AM51" s="412"/>
    </row>
    <row r="52" spans="1:39" ht="35.25" customHeight="1" x14ac:dyDescent="0.2">
      <c r="A52" s="110" t="s">
        <v>99</v>
      </c>
      <c r="B52" s="80" t="s">
        <v>1680</v>
      </c>
      <c r="C52" s="92" t="s">
        <v>1683</v>
      </c>
      <c r="D52" s="140">
        <f t="shared" si="5"/>
        <v>51020.4</v>
      </c>
      <c r="E52" s="140">
        <f t="shared" si="5"/>
        <v>51020.4</v>
      </c>
      <c r="F52" s="140">
        <f t="shared" si="5"/>
        <v>0</v>
      </c>
      <c r="G52" s="213"/>
      <c r="AJ52" s="223"/>
      <c r="AK52" s="89"/>
      <c r="AM52" s="412"/>
    </row>
    <row r="53" spans="1:39" ht="34.5" customHeight="1" x14ac:dyDescent="0.2">
      <c r="A53" s="110" t="s">
        <v>204</v>
      </c>
      <c r="B53" s="80" t="s">
        <v>1681</v>
      </c>
      <c r="C53" s="92" t="s">
        <v>1683</v>
      </c>
      <c r="D53" s="634">
        <v>51020.4</v>
      </c>
      <c r="E53" s="634">
        <v>51020.4</v>
      </c>
      <c r="F53" s="140">
        <f>E53-D53</f>
        <v>0</v>
      </c>
      <c r="G53" s="213"/>
      <c r="N53" s="141">
        <v>50494.949500000002</v>
      </c>
      <c r="AJ53" s="223"/>
      <c r="AK53" s="89"/>
      <c r="AM53" s="412"/>
    </row>
    <row r="54" spans="1:39" ht="39" customHeight="1" x14ac:dyDescent="0.2">
      <c r="A54" s="193" t="s">
        <v>99</v>
      </c>
      <c r="B54" s="194" t="s">
        <v>1916</v>
      </c>
      <c r="C54" s="269" t="s">
        <v>1919</v>
      </c>
      <c r="D54" s="222">
        <f>D55</f>
        <v>50494.949500000002</v>
      </c>
      <c r="E54" s="222">
        <f>E55</f>
        <v>50494.949500000002</v>
      </c>
      <c r="F54" s="222">
        <f>E54-D54</f>
        <v>0</v>
      </c>
      <c r="G54" s="213"/>
      <c r="AJ54" s="222">
        <f>AJ55</f>
        <v>0</v>
      </c>
      <c r="AK54" s="89">
        <f>D54-AJ54</f>
        <v>50494.949500000002</v>
      </c>
    </row>
    <row r="55" spans="1:39" ht="35.25" customHeight="1" x14ac:dyDescent="0.2">
      <c r="A55" s="110" t="s">
        <v>99</v>
      </c>
      <c r="B55" s="80" t="s">
        <v>1917</v>
      </c>
      <c r="C55" s="92" t="s">
        <v>1920</v>
      </c>
      <c r="D55" s="140">
        <f>D56</f>
        <v>50494.949500000002</v>
      </c>
      <c r="E55" s="140">
        <f>E56</f>
        <v>50494.949500000002</v>
      </c>
      <c r="F55" s="140">
        <f>E55-D55</f>
        <v>0</v>
      </c>
      <c r="G55" s="213"/>
      <c r="AJ55" s="140">
        <f>AJ56</f>
        <v>0</v>
      </c>
      <c r="AK55" s="89">
        <f>D55-AJ55</f>
        <v>50494.949500000002</v>
      </c>
    </row>
    <row r="56" spans="1:39" ht="39" customHeight="1" x14ac:dyDescent="0.2">
      <c r="A56" s="110" t="s">
        <v>98</v>
      </c>
      <c r="B56" s="80" t="s">
        <v>1918</v>
      </c>
      <c r="C56" s="92" t="s">
        <v>1920</v>
      </c>
      <c r="D56" s="140">
        <v>50494.949500000002</v>
      </c>
      <c r="E56" s="140">
        <v>50494.949500000002</v>
      </c>
      <c r="F56" s="140">
        <f>E56-D56</f>
        <v>0</v>
      </c>
      <c r="G56" s="213"/>
      <c r="AJ56" s="140"/>
      <c r="AK56" s="89">
        <f>D56-AJ56</f>
        <v>50494.949500000002</v>
      </c>
    </row>
    <row r="57" spans="1:39" ht="39" customHeight="1" x14ac:dyDescent="0.2">
      <c r="A57" s="193" t="s">
        <v>99</v>
      </c>
      <c r="B57" s="194" t="s">
        <v>893</v>
      </c>
      <c r="C57" s="269" t="s">
        <v>858</v>
      </c>
      <c r="D57" s="222">
        <f>D58</f>
        <v>914.47235999999998</v>
      </c>
      <c r="E57" s="222">
        <f>E58</f>
        <v>914.47235999999998</v>
      </c>
      <c r="F57" s="222">
        <f t="shared" si="1"/>
        <v>0</v>
      </c>
      <c r="G57" s="213"/>
      <c r="AJ57" s="222">
        <f>AJ58</f>
        <v>0</v>
      </c>
      <c r="AK57" s="89">
        <f t="shared" si="0"/>
        <v>914.47235999999998</v>
      </c>
    </row>
    <row r="58" spans="1:39" ht="35.25" customHeight="1" x14ac:dyDescent="0.2">
      <c r="A58" s="110" t="s">
        <v>99</v>
      </c>
      <c r="B58" s="80" t="s">
        <v>894</v>
      </c>
      <c r="C58" s="92" t="s">
        <v>859</v>
      </c>
      <c r="D58" s="140">
        <f>D59</f>
        <v>914.47235999999998</v>
      </c>
      <c r="E58" s="140">
        <f>E59</f>
        <v>914.47235999999998</v>
      </c>
      <c r="F58" s="140">
        <f t="shared" si="1"/>
        <v>0</v>
      </c>
      <c r="G58" s="213"/>
      <c r="AJ58" s="140">
        <f>AJ59</f>
        <v>0</v>
      </c>
      <c r="AK58" s="89">
        <f t="shared" si="0"/>
        <v>914.47235999999998</v>
      </c>
    </row>
    <row r="59" spans="1:39" ht="39" customHeight="1" x14ac:dyDescent="0.2">
      <c r="A59" s="110" t="s">
        <v>7</v>
      </c>
      <c r="B59" s="80" t="s">
        <v>895</v>
      </c>
      <c r="C59" s="92" t="s">
        <v>859</v>
      </c>
      <c r="D59" s="140">
        <v>914.47235999999998</v>
      </c>
      <c r="E59" s="140">
        <v>914.47235999999998</v>
      </c>
      <c r="F59" s="140">
        <f t="shared" si="1"/>
        <v>0</v>
      </c>
      <c r="G59" s="213"/>
      <c r="AJ59" s="140"/>
      <c r="AK59" s="89">
        <f t="shared" si="0"/>
        <v>914.47235999999998</v>
      </c>
    </row>
    <row r="60" spans="1:39" ht="24.75" customHeight="1" x14ac:dyDescent="0.2">
      <c r="A60" s="193" t="s">
        <v>99</v>
      </c>
      <c r="B60" s="194" t="s">
        <v>896</v>
      </c>
      <c r="C60" s="535" t="s">
        <v>860</v>
      </c>
      <c r="D60" s="222">
        <f>D61</f>
        <v>836.55360999999994</v>
      </c>
      <c r="E60" s="222">
        <f>E61</f>
        <v>836.55360999999994</v>
      </c>
      <c r="F60" s="222">
        <f t="shared" si="1"/>
        <v>0</v>
      </c>
      <c r="G60" s="213"/>
      <c r="AJ60" s="222">
        <f>AJ61</f>
        <v>1757</v>
      </c>
      <c r="AK60" s="89">
        <f t="shared" si="0"/>
        <v>-920.44639000000006</v>
      </c>
    </row>
    <row r="61" spans="1:39" ht="25.5" customHeight="1" x14ac:dyDescent="0.2">
      <c r="A61" s="110" t="s">
        <v>99</v>
      </c>
      <c r="B61" s="80" t="s">
        <v>897</v>
      </c>
      <c r="C61" s="530" t="s">
        <v>861</v>
      </c>
      <c r="D61" s="140">
        <f>D62</f>
        <v>836.55360999999994</v>
      </c>
      <c r="E61" s="140">
        <f>E62</f>
        <v>836.55360999999994</v>
      </c>
      <c r="F61" s="140">
        <f t="shared" si="1"/>
        <v>0</v>
      </c>
      <c r="G61" s="213"/>
      <c r="AJ61" s="140">
        <f>AJ62</f>
        <v>1757</v>
      </c>
      <c r="AK61" s="89">
        <f t="shared" si="0"/>
        <v>-920.44639000000006</v>
      </c>
    </row>
    <row r="62" spans="1:39" ht="25.5" customHeight="1" x14ac:dyDescent="0.2">
      <c r="A62" s="110" t="s">
        <v>970</v>
      </c>
      <c r="B62" s="80" t="s">
        <v>898</v>
      </c>
      <c r="C62" s="530" t="s">
        <v>861</v>
      </c>
      <c r="D62" s="658">
        <v>836.55360999999994</v>
      </c>
      <c r="E62" s="658">
        <v>836.55360999999994</v>
      </c>
      <c r="F62" s="140">
        <f t="shared" si="1"/>
        <v>0</v>
      </c>
      <c r="G62" s="213"/>
      <c r="I62" s="421">
        <f>1039.1-0.0106-235.91626</f>
        <v>803.17313999999988</v>
      </c>
      <c r="AJ62" s="140">
        <v>1757</v>
      </c>
      <c r="AK62" s="89">
        <f t="shared" si="0"/>
        <v>-920.44639000000006</v>
      </c>
      <c r="AM62" s="291">
        <v>1102.4000000000001</v>
      </c>
    </row>
    <row r="63" spans="1:39" ht="27" hidden="1" customHeight="1" x14ac:dyDescent="0.2">
      <c r="A63" s="193" t="s">
        <v>99</v>
      </c>
      <c r="B63" s="194" t="s">
        <v>1409</v>
      </c>
      <c r="C63" s="196" t="s">
        <v>1411</v>
      </c>
      <c r="D63" s="222">
        <f t="shared" ref="D63:F67" si="6">D64</f>
        <v>0</v>
      </c>
      <c r="E63" s="222">
        <f t="shared" si="6"/>
        <v>0</v>
      </c>
      <c r="F63" s="222">
        <f t="shared" si="1"/>
        <v>0</v>
      </c>
      <c r="G63" s="213"/>
      <c r="I63" s="421"/>
      <c r="AJ63" s="140"/>
      <c r="AK63" s="89"/>
      <c r="AM63" s="291"/>
    </row>
    <row r="64" spans="1:39" ht="27" hidden="1" customHeight="1" x14ac:dyDescent="0.2">
      <c r="A64" s="110" t="s">
        <v>99</v>
      </c>
      <c r="B64" s="80" t="s">
        <v>1409</v>
      </c>
      <c r="C64" s="92" t="s">
        <v>1412</v>
      </c>
      <c r="D64" s="140">
        <f t="shared" si="6"/>
        <v>0</v>
      </c>
      <c r="E64" s="140">
        <f t="shared" si="6"/>
        <v>0</v>
      </c>
      <c r="F64" s="140">
        <f t="shared" si="1"/>
        <v>0</v>
      </c>
      <c r="G64" s="213"/>
      <c r="I64" s="421"/>
      <c r="AJ64" s="140"/>
      <c r="AK64" s="89"/>
      <c r="AM64" s="291"/>
    </row>
    <row r="65" spans="1:39" ht="27" hidden="1" customHeight="1" x14ac:dyDescent="0.2">
      <c r="A65" s="110" t="s">
        <v>7</v>
      </c>
      <c r="B65" s="80" t="s">
        <v>1410</v>
      </c>
      <c r="C65" s="92" t="s">
        <v>1412</v>
      </c>
      <c r="D65" s="140"/>
      <c r="E65" s="140"/>
      <c r="F65" s="140">
        <f t="shared" si="1"/>
        <v>0</v>
      </c>
      <c r="G65" s="213"/>
      <c r="I65" s="421"/>
      <c r="AJ65" s="140"/>
      <c r="AK65" s="89"/>
      <c r="AM65" s="291"/>
    </row>
    <row r="66" spans="1:39" ht="20.25" hidden="1" customHeight="1" x14ac:dyDescent="0.2">
      <c r="A66" s="193" t="s">
        <v>99</v>
      </c>
      <c r="B66" s="194" t="s">
        <v>1423</v>
      </c>
      <c r="C66" s="269" t="s">
        <v>1425</v>
      </c>
      <c r="D66" s="222">
        <f t="shared" si="6"/>
        <v>0</v>
      </c>
      <c r="E66" s="222">
        <f t="shared" si="6"/>
        <v>0</v>
      </c>
      <c r="F66" s="222">
        <f t="shared" si="6"/>
        <v>0</v>
      </c>
      <c r="G66" s="213"/>
      <c r="I66" s="421"/>
      <c r="AJ66" s="140"/>
      <c r="AK66" s="89"/>
      <c r="AM66" s="291"/>
    </row>
    <row r="67" spans="1:39" ht="18.75" hidden="1" customHeight="1" x14ac:dyDescent="0.2">
      <c r="A67" s="110" t="s">
        <v>99</v>
      </c>
      <c r="B67" s="80" t="s">
        <v>1423</v>
      </c>
      <c r="C67" s="92" t="s">
        <v>1426</v>
      </c>
      <c r="D67" s="140">
        <f t="shared" si="6"/>
        <v>0</v>
      </c>
      <c r="E67" s="140">
        <f t="shared" si="6"/>
        <v>0</v>
      </c>
      <c r="F67" s="140">
        <f t="shared" si="1"/>
        <v>0</v>
      </c>
      <c r="G67" s="213"/>
      <c r="I67" s="421"/>
      <c r="AJ67" s="140"/>
      <c r="AK67" s="89"/>
      <c r="AM67" s="291"/>
    </row>
    <row r="68" spans="1:39" ht="18.75" hidden="1" customHeight="1" x14ac:dyDescent="0.2">
      <c r="A68" s="110" t="s">
        <v>644</v>
      </c>
      <c r="B68" s="80" t="s">
        <v>1424</v>
      </c>
      <c r="C68" s="92" t="s">
        <v>1426</v>
      </c>
      <c r="D68" s="140"/>
      <c r="E68" s="140"/>
      <c r="F68" s="140">
        <f t="shared" si="1"/>
        <v>0</v>
      </c>
      <c r="G68" s="213"/>
      <c r="I68" s="421"/>
      <c r="AJ68" s="140"/>
      <c r="AK68" s="89"/>
      <c r="AM68" s="291"/>
    </row>
    <row r="69" spans="1:39" ht="17.25" hidden="1" customHeight="1" x14ac:dyDescent="0.2">
      <c r="A69" s="193" t="s">
        <v>99</v>
      </c>
      <c r="B69" s="194" t="s">
        <v>1429</v>
      </c>
      <c r="C69" s="535" t="s">
        <v>1432</v>
      </c>
      <c r="D69" s="222">
        <f>D70</f>
        <v>0</v>
      </c>
      <c r="E69" s="222">
        <f>E70</f>
        <v>0</v>
      </c>
      <c r="F69" s="222">
        <f>F70</f>
        <v>0</v>
      </c>
      <c r="G69" s="529" t="s">
        <v>1433</v>
      </c>
      <c r="I69" s="421"/>
      <c r="AJ69" s="140"/>
      <c r="AK69" s="89"/>
      <c r="AM69" s="291"/>
    </row>
    <row r="70" spans="1:39" ht="24" hidden="1" customHeight="1" x14ac:dyDescent="0.2">
      <c r="A70" s="110" t="s">
        <v>99</v>
      </c>
      <c r="B70" s="80" t="s">
        <v>1430</v>
      </c>
      <c r="C70" s="530" t="s">
        <v>1434</v>
      </c>
      <c r="D70" s="140">
        <f>D71</f>
        <v>0</v>
      </c>
      <c r="E70" s="140">
        <f>E71</f>
        <v>0</v>
      </c>
      <c r="F70" s="140">
        <f t="shared" si="1"/>
        <v>0</v>
      </c>
      <c r="G70" s="213"/>
      <c r="I70" s="421"/>
      <c r="AJ70" s="140"/>
      <c r="AK70" s="89"/>
      <c r="AM70" s="291"/>
    </row>
    <row r="71" spans="1:39" ht="24" hidden="1" customHeight="1" x14ac:dyDescent="0.2">
      <c r="A71" s="110" t="s">
        <v>7</v>
      </c>
      <c r="B71" s="80" t="s">
        <v>1431</v>
      </c>
      <c r="C71" s="530" t="s">
        <v>1434</v>
      </c>
      <c r="D71" s="140"/>
      <c r="E71" s="140"/>
      <c r="F71" s="140">
        <f t="shared" si="1"/>
        <v>0</v>
      </c>
      <c r="G71" s="213"/>
      <c r="I71" s="421"/>
      <c r="AJ71" s="140"/>
      <c r="AK71" s="89"/>
      <c r="AM71" s="291"/>
    </row>
    <row r="72" spans="1:39" ht="25.5" hidden="1" customHeight="1" x14ac:dyDescent="0.2">
      <c r="A72" s="193" t="s">
        <v>99</v>
      </c>
      <c r="B72" s="194" t="s">
        <v>899</v>
      </c>
      <c r="C72" s="535" t="s">
        <v>1152</v>
      </c>
      <c r="D72" s="222">
        <f>D73</f>
        <v>0</v>
      </c>
      <c r="E72" s="222">
        <f>E73</f>
        <v>0</v>
      </c>
      <c r="F72" s="222">
        <f t="shared" si="1"/>
        <v>0</v>
      </c>
      <c r="G72" s="417"/>
      <c r="I72" s="421">
        <f>250.6+0.03031-56.90345</f>
        <v>193.72685999999999</v>
      </c>
      <c r="AJ72" s="222">
        <f>AJ73</f>
        <v>608.79999999999995</v>
      </c>
      <c r="AK72" s="89">
        <f t="shared" si="0"/>
        <v>-608.79999999999995</v>
      </c>
    </row>
    <row r="73" spans="1:39" ht="24.75" hidden="1" customHeight="1" x14ac:dyDescent="0.2">
      <c r="A73" s="110" t="s">
        <v>99</v>
      </c>
      <c r="B73" s="80" t="s">
        <v>900</v>
      </c>
      <c r="C73" s="530" t="s">
        <v>963</v>
      </c>
      <c r="D73" s="140">
        <f>D74+D75</f>
        <v>0</v>
      </c>
      <c r="E73" s="140">
        <f>E74+E75</f>
        <v>0</v>
      </c>
      <c r="F73" s="140">
        <f>F74+F75</f>
        <v>0</v>
      </c>
      <c r="G73" s="213"/>
      <c r="AJ73" s="140">
        <f>AJ74</f>
        <v>608.79999999999995</v>
      </c>
      <c r="AK73" s="89">
        <f t="shared" si="0"/>
        <v>-608.79999999999995</v>
      </c>
    </row>
    <row r="74" spans="1:39" ht="27" hidden="1" customHeight="1" x14ac:dyDescent="0.2">
      <c r="A74" s="134" t="s">
        <v>182</v>
      </c>
      <c r="B74" s="80" t="s">
        <v>901</v>
      </c>
      <c r="C74" s="530" t="s">
        <v>963</v>
      </c>
      <c r="D74" s="140">
        <v>0</v>
      </c>
      <c r="E74" s="140">
        <v>0</v>
      </c>
      <c r="F74" s="140">
        <f t="shared" si="1"/>
        <v>0</v>
      </c>
      <c r="G74" s="213"/>
      <c r="AJ74" s="140">
        <v>608.79999999999995</v>
      </c>
      <c r="AK74" s="89">
        <f t="shared" si="0"/>
        <v>-608.79999999999995</v>
      </c>
      <c r="AM74" s="291">
        <v>572.29999999999995</v>
      </c>
    </row>
    <row r="75" spans="1:39" ht="27" hidden="1" customHeight="1" x14ac:dyDescent="0.2">
      <c r="A75" s="134" t="s">
        <v>644</v>
      </c>
      <c r="B75" s="80" t="s">
        <v>901</v>
      </c>
      <c r="C75" s="530" t="s">
        <v>963</v>
      </c>
      <c r="D75" s="140">
        <v>0</v>
      </c>
      <c r="E75" s="140">
        <v>0</v>
      </c>
      <c r="F75" s="140">
        <f t="shared" si="1"/>
        <v>0</v>
      </c>
      <c r="G75" s="213"/>
      <c r="AJ75" s="140"/>
      <c r="AK75" s="89"/>
      <c r="AM75" s="291"/>
    </row>
    <row r="76" spans="1:39" ht="17.25" customHeight="1" x14ac:dyDescent="0.2">
      <c r="A76" s="193" t="s">
        <v>99</v>
      </c>
      <c r="B76" s="194" t="s">
        <v>902</v>
      </c>
      <c r="C76" s="278" t="s">
        <v>674</v>
      </c>
      <c r="D76" s="222">
        <f>D77</f>
        <v>403.51682</v>
      </c>
      <c r="E76" s="222">
        <f>E77</f>
        <v>403.51682</v>
      </c>
      <c r="F76" s="222">
        <f t="shared" si="1"/>
        <v>0</v>
      </c>
      <c r="G76" s="417"/>
      <c r="AJ76" s="222">
        <f t="shared" ref="AJ76:AJ88" si="7">AJ77</f>
        <v>2926.3</v>
      </c>
      <c r="AK76" s="89">
        <f t="shared" si="0"/>
        <v>-2522.7831800000004</v>
      </c>
    </row>
    <row r="77" spans="1:39" ht="15" customHeight="1" x14ac:dyDescent="0.2">
      <c r="A77" s="110" t="s">
        <v>99</v>
      </c>
      <c r="B77" s="80" t="s">
        <v>903</v>
      </c>
      <c r="C77" s="276" t="s">
        <v>965</v>
      </c>
      <c r="D77" s="140">
        <f>D78</f>
        <v>403.51682</v>
      </c>
      <c r="E77" s="140">
        <f>E78</f>
        <v>403.51682</v>
      </c>
      <c r="F77" s="140">
        <f t="shared" si="1"/>
        <v>0</v>
      </c>
      <c r="G77" s="213"/>
      <c r="AJ77" s="140">
        <f t="shared" si="7"/>
        <v>2926.3</v>
      </c>
      <c r="AK77" s="89">
        <f t="shared" si="0"/>
        <v>-2522.7831800000004</v>
      </c>
    </row>
    <row r="78" spans="1:39" ht="15" customHeight="1" x14ac:dyDescent="0.2">
      <c r="A78" s="110" t="s">
        <v>7</v>
      </c>
      <c r="B78" s="80" t="s">
        <v>904</v>
      </c>
      <c r="C78" s="276" t="s">
        <v>965</v>
      </c>
      <c r="D78" s="634">
        <f>190.75087+212.76595</f>
        <v>403.51682</v>
      </c>
      <c r="E78" s="634">
        <f>190.75087+212.76595</f>
        <v>403.51682</v>
      </c>
      <c r="F78" s="140">
        <f t="shared" si="1"/>
        <v>0</v>
      </c>
      <c r="G78" s="213"/>
      <c r="AJ78" s="140">
        <v>2926.3</v>
      </c>
      <c r="AK78" s="89">
        <f t="shared" si="0"/>
        <v>-2522.7831800000004</v>
      </c>
      <c r="AM78" s="291">
        <v>2750.7</v>
      </c>
    </row>
    <row r="79" spans="1:39" ht="30.75" hidden="1" customHeight="1" x14ac:dyDescent="0.2">
      <c r="A79" s="193" t="s">
        <v>99</v>
      </c>
      <c r="B79" s="194" t="s">
        <v>694</v>
      </c>
      <c r="C79" s="269" t="s">
        <v>697</v>
      </c>
      <c r="D79" s="222">
        <f>D80</f>
        <v>0</v>
      </c>
      <c r="E79" s="222">
        <f>E80</f>
        <v>0</v>
      </c>
      <c r="F79" s="222">
        <f t="shared" si="1"/>
        <v>0</v>
      </c>
      <c r="G79" s="417"/>
      <c r="AJ79" s="222">
        <f t="shared" si="7"/>
        <v>0</v>
      </c>
      <c r="AK79" s="89">
        <f t="shared" si="0"/>
        <v>0</v>
      </c>
    </row>
    <row r="80" spans="1:39" ht="26.25" hidden="1" customHeight="1" x14ac:dyDescent="0.2">
      <c r="A80" s="110" t="s">
        <v>99</v>
      </c>
      <c r="B80" s="80" t="s">
        <v>695</v>
      </c>
      <c r="C80" s="92" t="s">
        <v>698</v>
      </c>
      <c r="D80" s="140">
        <f>D81</f>
        <v>0</v>
      </c>
      <c r="E80" s="140">
        <f>E81</f>
        <v>0</v>
      </c>
      <c r="F80" s="140">
        <f t="shared" si="1"/>
        <v>0</v>
      </c>
      <c r="G80" s="213"/>
      <c r="AJ80" s="140">
        <f t="shared" si="7"/>
        <v>0</v>
      </c>
      <c r="AK80" s="89">
        <f t="shared" si="0"/>
        <v>0</v>
      </c>
    </row>
    <row r="81" spans="1:39" ht="29.25" hidden="1" customHeight="1" x14ac:dyDescent="0.2">
      <c r="A81" s="110" t="s">
        <v>98</v>
      </c>
      <c r="B81" s="80" t="s">
        <v>696</v>
      </c>
      <c r="C81" s="92" t="s">
        <v>698</v>
      </c>
      <c r="D81" s="140">
        <v>0</v>
      </c>
      <c r="E81" s="140">
        <v>0</v>
      </c>
      <c r="F81" s="140">
        <f t="shared" si="1"/>
        <v>0</v>
      </c>
      <c r="G81" s="213"/>
      <c r="AJ81" s="140">
        <v>0</v>
      </c>
      <c r="AK81" s="89">
        <f t="shared" si="0"/>
        <v>0</v>
      </c>
    </row>
    <row r="82" spans="1:39" ht="27.75" customHeight="1" x14ac:dyDescent="0.2">
      <c r="A82" s="193" t="s">
        <v>99</v>
      </c>
      <c r="B82" s="194" t="s">
        <v>905</v>
      </c>
      <c r="C82" s="535" t="s">
        <v>984</v>
      </c>
      <c r="D82" s="222">
        <f>D83</f>
        <v>9629.69002</v>
      </c>
      <c r="E82" s="222">
        <f>E83</f>
        <v>9629.69002</v>
      </c>
      <c r="F82" s="222">
        <f t="shared" si="1"/>
        <v>0</v>
      </c>
      <c r="G82" s="417"/>
      <c r="AJ82" s="222">
        <f t="shared" si="7"/>
        <v>10775.4</v>
      </c>
      <c r="AK82" s="89">
        <f t="shared" si="0"/>
        <v>-1145.7099799999996</v>
      </c>
    </row>
    <row r="83" spans="1:39" ht="27.75" customHeight="1" x14ac:dyDescent="0.2">
      <c r="A83" s="110" t="s">
        <v>99</v>
      </c>
      <c r="B83" s="80" t="s">
        <v>906</v>
      </c>
      <c r="C83" s="530" t="s">
        <v>985</v>
      </c>
      <c r="D83" s="140">
        <f>D84</f>
        <v>9629.69002</v>
      </c>
      <c r="E83" s="140">
        <f>E84</f>
        <v>9629.69002</v>
      </c>
      <c r="F83" s="140">
        <f t="shared" si="1"/>
        <v>0</v>
      </c>
      <c r="G83" s="213"/>
      <c r="AJ83" s="140">
        <f t="shared" si="7"/>
        <v>10775.4</v>
      </c>
      <c r="AK83" s="89">
        <f t="shared" si="0"/>
        <v>-1145.7099799999996</v>
      </c>
    </row>
    <row r="84" spans="1:39" ht="27.75" customHeight="1" x14ac:dyDescent="0.2">
      <c r="A84" s="110" t="s">
        <v>98</v>
      </c>
      <c r="B84" s="80" t="s">
        <v>907</v>
      </c>
      <c r="C84" s="530" t="s">
        <v>985</v>
      </c>
      <c r="D84" s="634">
        <v>9629.69002</v>
      </c>
      <c r="E84" s="634">
        <v>9629.69002</v>
      </c>
      <c r="F84" s="140">
        <f t="shared" si="1"/>
        <v>0</v>
      </c>
      <c r="G84" s="213" t="s">
        <v>1873</v>
      </c>
      <c r="AJ84" s="140">
        <v>10775.4</v>
      </c>
      <c r="AK84" s="89">
        <f t="shared" si="0"/>
        <v>-1145.7099799999996</v>
      </c>
      <c r="AM84" s="291">
        <v>10704.5</v>
      </c>
    </row>
    <row r="85" spans="1:39" ht="29.25" hidden="1" customHeight="1" x14ac:dyDescent="0.2">
      <c r="A85" s="193" t="s">
        <v>99</v>
      </c>
      <c r="B85" s="194" t="s">
        <v>908</v>
      </c>
      <c r="C85" s="269" t="s">
        <v>822</v>
      </c>
      <c r="D85" s="222">
        <f>D86</f>
        <v>0</v>
      </c>
      <c r="E85" s="222">
        <f>E86</f>
        <v>0</v>
      </c>
      <c r="F85" s="222">
        <f t="shared" si="1"/>
        <v>0</v>
      </c>
      <c r="G85" s="417"/>
      <c r="AJ85" s="222">
        <f t="shared" si="7"/>
        <v>0</v>
      </c>
      <c r="AK85" s="89">
        <f t="shared" si="0"/>
        <v>0</v>
      </c>
    </row>
    <row r="86" spans="1:39" ht="25.5" hidden="1" customHeight="1" x14ac:dyDescent="0.2">
      <c r="A86" s="110" t="s">
        <v>99</v>
      </c>
      <c r="B86" s="80" t="s">
        <v>909</v>
      </c>
      <c r="C86" s="92" t="s">
        <v>823</v>
      </c>
      <c r="D86" s="140">
        <f>D87</f>
        <v>0</v>
      </c>
      <c r="E86" s="140">
        <f>E87</f>
        <v>0</v>
      </c>
      <c r="F86" s="140">
        <f t="shared" ref="F86:F163" si="8">E86-D86</f>
        <v>0</v>
      </c>
      <c r="G86" s="213"/>
      <c r="AJ86" s="140">
        <f t="shared" si="7"/>
        <v>0</v>
      </c>
      <c r="AK86" s="89">
        <f t="shared" si="0"/>
        <v>0</v>
      </c>
    </row>
    <row r="87" spans="1:39" ht="25.5" hidden="1" customHeight="1" x14ac:dyDescent="0.2">
      <c r="A87" s="110" t="s">
        <v>98</v>
      </c>
      <c r="B87" s="80" t="s">
        <v>910</v>
      </c>
      <c r="C87" s="92" t="s">
        <v>823</v>
      </c>
      <c r="D87" s="140"/>
      <c r="E87" s="140"/>
      <c r="F87" s="140">
        <f t="shared" si="8"/>
        <v>0</v>
      </c>
      <c r="G87" s="213"/>
      <c r="AJ87" s="140"/>
      <c r="AK87" s="89">
        <f t="shared" si="0"/>
        <v>0</v>
      </c>
    </row>
    <row r="88" spans="1:39" ht="24.75" customHeight="1" x14ac:dyDescent="0.2">
      <c r="A88" s="193" t="s">
        <v>99</v>
      </c>
      <c r="B88" s="194" t="s">
        <v>1209</v>
      </c>
      <c r="C88" s="269" t="s">
        <v>1457</v>
      </c>
      <c r="D88" s="222">
        <f>D89</f>
        <v>81902.145120000001</v>
      </c>
      <c r="E88" s="222">
        <f>E89</f>
        <v>81902.145120000001</v>
      </c>
      <c r="F88" s="222">
        <f t="shared" si="8"/>
        <v>0</v>
      </c>
      <c r="G88" s="417"/>
      <c r="AJ88" s="222">
        <f t="shared" si="7"/>
        <v>0</v>
      </c>
      <c r="AK88" s="89">
        <f t="shared" si="0"/>
        <v>81902.145120000001</v>
      </c>
    </row>
    <row r="89" spans="1:39" ht="24.75" customHeight="1" x14ac:dyDescent="0.2">
      <c r="A89" s="110" t="s">
        <v>99</v>
      </c>
      <c r="B89" s="80" t="s">
        <v>1210</v>
      </c>
      <c r="C89" s="92" t="s">
        <v>1435</v>
      </c>
      <c r="D89" s="140">
        <f>D94+D99+D92+D96+D90</f>
        <v>81902.145120000001</v>
      </c>
      <c r="E89" s="140">
        <f>E94+E99+E92+E96+E90</f>
        <v>81902.145120000001</v>
      </c>
      <c r="F89" s="140">
        <f t="shared" si="8"/>
        <v>0</v>
      </c>
      <c r="G89" s="213"/>
      <c r="AJ89" s="140">
        <f>AJ94+AJ99</f>
        <v>0</v>
      </c>
      <c r="AK89" s="89">
        <f t="shared" si="0"/>
        <v>81902.145120000001</v>
      </c>
    </row>
    <row r="90" spans="1:39" ht="25.5" hidden="1" customHeight="1" x14ac:dyDescent="0.2">
      <c r="A90" s="110" t="s">
        <v>969</v>
      </c>
      <c r="B90" s="80" t="s">
        <v>1212</v>
      </c>
      <c r="C90" s="91" t="s">
        <v>1211</v>
      </c>
      <c r="D90" s="140">
        <f>D91</f>
        <v>0</v>
      </c>
      <c r="E90" s="140">
        <f>E91</f>
        <v>0</v>
      </c>
      <c r="F90" s="140">
        <f t="shared" si="8"/>
        <v>0</v>
      </c>
      <c r="G90" s="213"/>
      <c r="AJ90" s="140"/>
      <c r="AK90" s="89"/>
    </row>
    <row r="91" spans="1:39" ht="12" hidden="1" customHeight="1" x14ac:dyDescent="0.2">
      <c r="A91" s="110"/>
      <c r="B91" s="80"/>
      <c r="C91" s="92" t="s">
        <v>1850</v>
      </c>
      <c r="D91" s="634">
        <v>0</v>
      </c>
      <c r="E91" s="634">
        <v>0</v>
      </c>
      <c r="F91" s="140">
        <f t="shared" si="8"/>
        <v>0</v>
      </c>
      <c r="G91" s="213"/>
      <c r="AJ91" s="140"/>
      <c r="AK91" s="89"/>
    </row>
    <row r="92" spans="1:39" ht="25.5" hidden="1" customHeight="1" x14ac:dyDescent="0.2">
      <c r="A92" s="110" t="s">
        <v>7</v>
      </c>
      <c r="B92" s="80" t="s">
        <v>1212</v>
      </c>
      <c r="C92" s="91" t="s">
        <v>1211</v>
      </c>
      <c r="D92" s="140">
        <f>D93</f>
        <v>0</v>
      </c>
      <c r="E92" s="140">
        <f>E93</f>
        <v>0</v>
      </c>
      <c r="F92" s="140">
        <f>E92-D92</f>
        <v>0</v>
      </c>
      <c r="G92" s="213"/>
      <c r="AJ92" s="140"/>
      <c r="AK92" s="89"/>
      <c r="AM92" s="291"/>
    </row>
    <row r="93" spans="1:39" ht="17.25" hidden="1" customHeight="1" x14ac:dyDescent="0.2">
      <c r="A93" s="110"/>
      <c r="B93" s="80"/>
      <c r="C93" s="92" t="s">
        <v>1791</v>
      </c>
      <c r="D93" s="140"/>
      <c r="E93" s="140"/>
      <c r="F93" s="140">
        <f>E93-D93</f>
        <v>0</v>
      </c>
      <c r="G93" s="213"/>
      <c r="AJ93" s="140"/>
      <c r="AK93" s="89"/>
      <c r="AM93" s="291"/>
    </row>
    <row r="94" spans="1:39" ht="25.5" customHeight="1" x14ac:dyDescent="0.2">
      <c r="A94" s="110" t="s">
        <v>180</v>
      </c>
      <c r="B94" s="80" t="s">
        <v>1212</v>
      </c>
      <c r="C94" s="91" t="s">
        <v>1211</v>
      </c>
      <c r="D94" s="140">
        <f>D95</f>
        <v>64298.865120000002</v>
      </c>
      <c r="E94" s="140">
        <f>E95</f>
        <v>64298.865120000002</v>
      </c>
      <c r="F94" s="140">
        <f t="shared" si="8"/>
        <v>0</v>
      </c>
      <c r="G94" s="213"/>
      <c r="AJ94" s="140">
        <v>0</v>
      </c>
      <c r="AK94" s="89">
        <f>D94-AJ94</f>
        <v>64298.865120000002</v>
      </c>
    </row>
    <row r="95" spans="1:39" ht="14.25" customHeight="1" x14ac:dyDescent="0.2">
      <c r="A95" s="110"/>
      <c r="B95" s="80"/>
      <c r="C95" s="92" t="s">
        <v>1792</v>
      </c>
      <c r="D95" s="140">
        <f>21043.7724+43255.09272</f>
        <v>64298.865120000002</v>
      </c>
      <c r="E95" s="140">
        <f>21043.7724+43255.09272</f>
        <v>64298.865120000002</v>
      </c>
      <c r="F95" s="140">
        <f t="shared" si="8"/>
        <v>0</v>
      </c>
      <c r="G95" s="213"/>
      <c r="AJ95" s="140"/>
      <c r="AK95" s="89">
        <f>D95-AJ95</f>
        <v>64298.865120000002</v>
      </c>
      <c r="AM95" s="291">
        <v>155563.29999999999</v>
      </c>
    </row>
    <row r="96" spans="1:39" ht="24.75" customHeight="1" x14ac:dyDescent="0.2">
      <c r="A96" s="110" t="s">
        <v>98</v>
      </c>
      <c r="B96" s="80" t="s">
        <v>1212</v>
      </c>
      <c r="C96" s="92" t="s">
        <v>1435</v>
      </c>
      <c r="D96" s="140">
        <f>D97+D98</f>
        <v>17603.28</v>
      </c>
      <c r="E96" s="140">
        <f>E97+E98</f>
        <v>17603.28</v>
      </c>
      <c r="F96" s="140">
        <f t="shared" si="8"/>
        <v>0</v>
      </c>
      <c r="G96" s="213"/>
      <c r="AJ96" s="140"/>
      <c r="AK96" s="89"/>
      <c r="AM96" s="291"/>
    </row>
    <row r="97" spans="1:39" ht="16.5" customHeight="1" x14ac:dyDescent="0.2">
      <c r="A97" s="110"/>
      <c r="B97" s="80"/>
      <c r="C97" s="92" t="s">
        <v>1793</v>
      </c>
      <c r="D97" s="140">
        <v>17603.28</v>
      </c>
      <c r="E97" s="140">
        <v>17603.28</v>
      </c>
      <c r="F97" s="140">
        <f t="shared" si="8"/>
        <v>0</v>
      </c>
      <c r="G97" s="213"/>
      <c r="AJ97" s="140"/>
      <c r="AK97" s="89"/>
      <c r="AM97" s="291"/>
    </row>
    <row r="98" spans="1:39" ht="16.5" hidden="1" customHeight="1" x14ac:dyDescent="0.2">
      <c r="A98" s="110"/>
      <c r="B98" s="80"/>
      <c r="C98" s="92" t="s">
        <v>1790</v>
      </c>
      <c r="D98" s="140">
        <v>0</v>
      </c>
      <c r="E98" s="140">
        <v>0</v>
      </c>
      <c r="F98" s="140"/>
      <c r="G98" s="213"/>
      <c r="AJ98" s="140"/>
      <c r="AK98" s="89"/>
      <c r="AM98" s="291"/>
    </row>
    <row r="99" spans="1:39" ht="25.5" hidden="1" customHeight="1" x14ac:dyDescent="0.2">
      <c r="A99" s="110" t="s">
        <v>204</v>
      </c>
      <c r="B99" s="80" t="s">
        <v>911</v>
      </c>
      <c r="C99" s="91" t="s">
        <v>843</v>
      </c>
      <c r="D99" s="140">
        <f>D101+D100</f>
        <v>0</v>
      </c>
      <c r="E99" s="140">
        <f>E101+E100</f>
        <v>0</v>
      </c>
      <c r="F99" s="140">
        <f t="shared" si="8"/>
        <v>0</v>
      </c>
      <c r="G99" s="213"/>
      <c r="AJ99" s="140">
        <f>AJ101</f>
        <v>0</v>
      </c>
      <c r="AK99" s="89">
        <f>D99-AJ99</f>
        <v>0</v>
      </c>
    </row>
    <row r="100" spans="1:39" ht="25.5" hidden="1" customHeight="1" x14ac:dyDescent="0.2">
      <c r="A100" s="110"/>
      <c r="B100" s="80"/>
      <c r="C100" s="92" t="s">
        <v>1790</v>
      </c>
      <c r="D100" s="140"/>
      <c r="E100" s="140"/>
      <c r="F100" s="140">
        <f t="shared" si="8"/>
        <v>0</v>
      </c>
      <c r="G100" s="213"/>
      <c r="AJ100" s="140"/>
      <c r="AK100" s="89"/>
    </row>
    <row r="101" spans="1:39" ht="21" hidden="1" customHeight="1" x14ac:dyDescent="0.2">
      <c r="A101" s="110"/>
      <c r="B101" s="80"/>
      <c r="C101" s="92" t="s">
        <v>1373</v>
      </c>
      <c r="D101" s="140"/>
      <c r="E101" s="140"/>
      <c r="F101" s="140">
        <f t="shared" si="8"/>
        <v>0</v>
      </c>
      <c r="G101" s="213"/>
      <c r="AJ101" s="140">
        <v>0</v>
      </c>
      <c r="AK101" s="89">
        <f t="shared" ref="AK101:AK109" si="9">D101-AJ101</f>
        <v>0</v>
      </c>
    </row>
    <row r="102" spans="1:39" ht="29.25" customHeight="1" x14ac:dyDescent="0.2">
      <c r="A102" s="193" t="s">
        <v>99</v>
      </c>
      <c r="B102" s="194" t="s">
        <v>1921</v>
      </c>
      <c r="C102" s="535" t="s">
        <v>1923</v>
      </c>
      <c r="D102" s="222">
        <f>D103</f>
        <v>169.12289999999999</v>
      </c>
      <c r="E102" s="222">
        <f>E103</f>
        <v>169.12289999999999</v>
      </c>
      <c r="F102" s="222">
        <f t="shared" ref="F102:F107" si="10">E102-D102</f>
        <v>0</v>
      </c>
      <c r="G102" s="417"/>
      <c r="AJ102" s="222">
        <f>AJ103</f>
        <v>83695.7</v>
      </c>
      <c r="AK102" s="89">
        <f>D102-AJ102</f>
        <v>-83526.577099999995</v>
      </c>
    </row>
    <row r="103" spans="1:39" ht="29.25" customHeight="1" x14ac:dyDescent="0.2">
      <c r="A103" s="110" t="s">
        <v>99</v>
      </c>
      <c r="B103" s="80" t="s">
        <v>1922</v>
      </c>
      <c r="C103" s="530" t="s">
        <v>1924</v>
      </c>
      <c r="D103" s="140">
        <f>D104</f>
        <v>169.12289999999999</v>
      </c>
      <c r="E103" s="140">
        <f>E104</f>
        <v>169.12289999999999</v>
      </c>
      <c r="F103" s="140">
        <f t="shared" si="10"/>
        <v>0</v>
      </c>
      <c r="G103" s="213" t="s">
        <v>1119</v>
      </c>
      <c r="H103" s="141" t="s">
        <v>1120</v>
      </c>
      <c r="AJ103" s="140">
        <f>AJ104</f>
        <v>83695.7</v>
      </c>
      <c r="AK103" s="89">
        <f>D103-AJ103</f>
        <v>-83526.577099999995</v>
      </c>
    </row>
    <row r="104" spans="1:39" ht="29.25" customHeight="1" x14ac:dyDescent="0.2">
      <c r="A104" s="110" t="s">
        <v>644</v>
      </c>
      <c r="B104" s="80" t="s">
        <v>1922</v>
      </c>
      <c r="C104" s="530" t="s">
        <v>1924</v>
      </c>
      <c r="D104" s="223">
        <v>169.12289999999999</v>
      </c>
      <c r="E104" s="223">
        <v>169.12289999999999</v>
      </c>
      <c r="F104" s="140">
        <f t="shared" si="10"/>
        <v>0</v>
      </c>
      <c r="G104" s="213">
        <v>44912</v>
      </c>
      <c r="H104" s="141">
        <v>75882.2</v>
      </c>
      <c r="AJ104" s="223">
        <v>83695.7</v>
      </c>
      <c r="AK104" s="89">
        <f>D104-AJ104</f>
        <v>-83526.577099999995</v>
      </c>
    </row>
    <row r="105" spans="1:39" ht="29.25" hidden="1" customHeight="1" x14ac:dyDescent="0.2">
      <c r="A105" s="193" t="s">
        <v>99</v>
      </c>
      <c r="B105" s="194" t="s">
        <v>1498</v>
      </c>
      <c r="C105" s="535" t="s">
        <v>1499</v>
      </c>
      <c r="D105" s="222">
        <f>D106</f>
        <v>0</v>
      </c>
      <c r="E105" s="222">
        <f>E106</f>
        <v>0</v>
      </c>
      <c r="F105" s="222">
        <f t="shared" si="10"/>
        <v>0</v>
      </c>
      <c r="G105" s="417"/>
      <c r="AJ105" s="222">
        <f>AJ106</f>
        <v>83695.7</v>
      </c>
      <c r="AK105" s="89">
        <f t="shared" si="9"/>
        <v>-83695.7</v>
      </c>
    </row>
    <row r="106" spans="1:39" ht="29.25" hidden="1" customHeight="1" x14ac:dyDescent="0.2">
      <c r="A106" s="110" t="s">
        <v>99</v>
      </c>
      <c r="B106" s="80" t="s">
        <v>1496</v>
      </c>
      <c r="C106" s="530" t="s">
        <v>1497</v>
      </c>
      <c r="D106" s="140">
        <f>D107</f>
        <v>0</v>
      </c>
      <c r="E106" s="140">
        <f>E107</f>
        <v>0</v>
      </c>
      <c r="F106" s="140">
        <f t="shared" si="10"/>
        <v>0</v>
      </c>
      <c r="G106" s="213" t="s">
        <v>1119</v>
      </c>
      <c r="H106" s="141" t="s">
        <v>1120</v>
      </c>
      <c r="AJ106" s="140">
        <f>AJ107</f>
        <v>83695.7</v>
      </c>
      <c r="AK106" s="89">
        <f t="shared" si="9"/>
        <v>-83695.7</v>
      </c>
    </row>
    <row r="107" spans="1:39" ht="29.25" hidden="1" customHeight="1" x14ac:dyDescent="0.2">
      <c r="A107" s="110" t="s">
        <v>180</v>
      </c>
      <c r="B107" s="80" t="s">
        <v>1496</v>
      </c>
      <c r="C107" s="530" t="s">
        <v>1497</v>
      </c>
      <c r="D107" s="223"/>
      <c r="E107" s="223"/>
      <c r="F107" s="140">
        <f t="shared" si="10"/>
        <v>0</v>
      </c>
      <c r="G107" s="213">
        <v>44912</v>
      </c>
      <c r="H107" s="141">
        <v>75882.2</v>
      </c>
      <c r="AJ107" s="223">
        <v>83695.7</v>
      </c>
      <c r="AK107" s="89">
        <f t="shared" si="9"/>
        <v>-83695.7</v>
      </c>
    </row>
    <row r="108" spans="1:39" ht="29.25" hidden="1" customHeight="1" x14ac:dyDescent="0.2">
      <c r="A108" s="193" t="s">
        <v>99</v>
      </c>
      <c r="B108" s="194" t="s">
        <v>928</v>
      </c>
      <c r="C108" s="535" t="s">
        <v>1360</v>
      </c>
      <c r="D108" s="222">
        <f>D109</f>
        <v>0</v>
      </c>
      <c r="E108" s="222">
        <f>E109</f>
        <v>0</v>
      </c>
      <c r="F108" s="222">
        <f t="shared" si="8"/>
        <v>0</v>
      </c>
      <c r="G108" s="417"/>
      <c r="AJ108" s="222">
        <f>AJ109</f>
        <v>83695.7</v>
      </c>
      <c r="AK108" s="89">
        <f t="shared" si="9"/>
        <v>-83695.7</v>
      </c>
    </row>
    <row r="109" spans="1:39" ht="29.25" hidden="1" customHeight="1" x14ac:dyDescent="0.2">
      <c r="A109" s="110" t="s">
        <v>99</v>
      </c>
      <c r="B109" s="80" t="s">
        <v>929</v>
      </c>
      <c r="C109" s="530" t="s">
        <v>33</v>
      </c>
      <c r="D109" s="140">
        <f>D111+D110</f>
        <v>0</v>
      </c>
      <c r="E109" s="140">
        <f>E111+E110</f>
        <v>0</v>
      </c>
      <c r="F109" s="140">
        <f>F111+F110</f>
        <v>0</v>
      </c>
      <c r="G109" s="213" t="s">
        <v>1119</v>
      </c>
      <c r="H109" s="141" t="s">
        <v>1120</v>
      </c>
      <c r="AJ109" s="140">
        <f>AJ111</f>
        <v>83695.7</v>
      </c>
      <c r="AK109" s="89">
        <f t="shared" si="9"/>
        <v>-83695.7</v>
      </c>
    </row>
    <row r="110" spans="1:39" ht="29.25" hidden="1" customHeight="1" x14ac:dyDescent="0.2">
      <c r="A110" s="110" t="s">
        <v>98</v>
      </c>
      <c r="B110" s="80" t="s">
        <v>957</v>
      </c>
      <c r="C110" s="530" t="s">
        <v>33</v>
      </c>
      <c r="D110" s="140"/>
      <c r="E110" s="140"/>
      <c r="F110" s="140">
        <f t="shared" si="8"/>
        <v>0</v>
      </c>
      <c r="G110" s="213"/>
      <c r="AJ110" s="140"/>
      <c r="AK110" s="89"/>
    </row>
    <row r="111" spans="1:39" ht="29.25" hidden="1" customHeight="1" x14ac:dyDescent="0.2">
      <c r="A111" s="110" t="s">
        <v>204</v>
      </c>
      <c r="B111" s="80" t="s">
        <v>957</v>
      </c>
      <c r="C111" s="530" t="s">
        <v>33</v>
      </c>
      <c r="D111" s="223">
        <v>0</v>
      </c>
      <c r="E111" s="223">
        <v>0</v>
      </c>
      <c r="F111" s="140">
        <f t="shared" si="8"/>
        <v>0</v>
      </c>
      <c r="G111" s="213">
        <v>44912</v>
      </c>
      <c r="H111" s="141">
        <v>75882.2</v>
      </c>
      <c r="AJ111" s="223">
        <v>83695.7</v>
      </c>
      <c r="AK111" s="89">
        <f t="shared" ref="AK111:AK186" si="11">D111-AJ111</f>
        <v>-83695.7</v>
      </c>
    </row>
    <row r="112" spans="1:39" ht="40.5" hidden="1" customHeight="1" x14ac:dyDescent="0.2">
      <c r="A112" s="193" t="s">
        <v>99</v>
      </c>
      <c r="B112" s="194" t="s">
        <v>1097</v>
      </c>
      <c r="C112" s="278" t="s">
        <v>1483</v>
      </c>
      <c r="D112" s="222">
        <f>D113</f>
        <v>0</v>
      </c>
      <c r="E112" s="222">
        <f>E113</f>
        <v>0</v>
      </c>
      <c r="F112" s="222">
        <f>F113</f>
        <v>0</v>
      </c>
      <c r="G112" s="213" t="s">
        <v>1454</v>
      </c>
      <c r="AJ112" s="223"/>
      <c r="AK112" s="89"/>
    </row>
    <row r="113" spans="1:39" ht="38.25" hidden="1" customHeight="1" x14ac:dyDescent="0.2">
      <c r="A113" s="110" t="s">
        <v>99</v>
      </c>
      <c r="B113" s="80" t="s">
        <v>1098</v>
      </c>
      <c r="C113" s="276" t="s">
        <v>1096</v>
      </c>
      <c r="D113" s="140">
        <f>D114</f>
        <v>0</v>
      </c>
      <c r="E113" s="140">
        <f>E114</f>
        <v>0</v>
      </c>
      <c r="F113" s="140">
        <f t="shared" si="8"/>
        <v>0</v>
      </c>
      <c r="G113" s="213"/>
      <c r="AJ113" s="223"/>
      <c r="AK113" s="89"/>
    </row>
    <row r="114" spans="1:39" ht="38.25" hidden="1" customHeight="1" x14ac:dyDescent="0.2">
      <c r="A114" s="110" t="s">
        <v>204</v>
      </c>
      <c r="B114" s="80" t="s">
        <v>1099</v>
      </c>
      <c r="C114" s="276" t="s">
        <v>1096</v>
      </c>
      <c r="D114" s="633">
        <v>0</v>
      </c>
      <c r="E114" s="633">
        <v>0</v>
      </c>
      <c r="F114" s="140">
        <f t="shared" si="8"/>
        <v>0</v>
      </c>
      <c r="G114" s="213"/>
      <c r="AJ114" s="223"/>
      <c r="AK114" s="89"/>
    </row>
    <row r="115" spans="1:39" ht="38.25" customHeight="1" x14ac:dyDescent="0.2">
      <c r="A115" s="193" t="s">
        <v>99</v>
      </c>
      <c r="B115" s="194" t="s">
        <v>1927</v>
      </c>
      <c r="C115" s="278" t="s">
        <v>1925</v>
      </c>
      <c r="D115" s="222">
        <f>D116</f>
        <v>50313.900949999996</v>
      </c>
      <c r="E115" s="222">
        <f>E116</f>
        <v>50313.900949999996</v>
      </c>
      <c r="F115" s="222">
        <f>F116</f>
        <v>0</v>
      </c>
      <c r="G115" s="213"/>
      <c r="AJ115" s="223"/>
      <c r="AK115" s="89"/>
    </row>
    <row r="116" spans="1:39" ht="38.25" customHeight="1" x14ac:dyDescent="0.2">
      <c r="A116" s="110" t="s">
        <v>99</v>
      </c>
      <c r="B116" s="80" t="s">
        <v>1928</v>
      </c>
      <c r="C116" s="276" t="s">
        <v>1925</v>
      </c>
      <c r="D116" s="140">
        <f>D117</f>
        <v>50313.900949999996</v>
      </c>
      <c r="E116" s="140">
        <f>E117</f>
        <v>50313.900949999996</v>
      </c>
      <c r="F116" s="140">
        <f>E116-D116</f>
        <v>0</v>
      </c>
      <c r="G116" s="213"/>
      <c r="AJ116" s="223"/>
      <c r="AK116" s="89"/>
    </row>
    <row r="117" spans="1:39" ht="38.25" customHeight="1" x14ac:dyDescent="0.2">
      <c r="A117" s="110" t="s">
        <v>98</v>
      </c>
      <c r="B117" s="80" t="s">
        <v>1929</v>
      </c>
      <c r="C117" s="276" t="s">
        <v>1926</v>
      </c>
      <c r="D117" s="633">
        <v>50313.900949999996</v>
      </c>
      <c r="E117" s="633">
        <v>50313.900949999996</v>
      </c>
      <c r="F117" s="140">
        <f>E117-D117</f>
        <v>0</v>
      </c>
      <c r="G117" s="213"/>
      <c r="AJ117" s="223"/>
      <c r="AK117" s="89"/>
    </row>
    <row r="118" spans="1:39" ht="14.25" customHeight="1" x14ac:dyDescent="0.2">
      <c r="A118" s="193" t="s">
        <v>99</v>
      </c>
      <c r="B118" s="194" t="s">
        <v>912</v>
      </c>
      <c r="C118" s="535" t="s">
        <v>668</v>
      </c>
      <c r="D118" s="222">
        <f>D119</f>
        <v>515764.93741000007</v>
      </c>
      <c r="E118" s="222">
        <f>E119</f>
        <v>550989.82276000024</v>
      </c>
      <c r="F118" s="222">
        <f t="shared" si="8"/>
        <v>35224.885350000171</v>
      </c>
      <c r="G118" s="417"/>
      <c r="M118" s="367">
        <v>550989.82276000013</v>
      </c>
      <c r="N118" s="414">
        <f>M118-E118</f>
        <v>0</v>
      </c>
      <c r="AJ118" s="222">
        <f>AJ119</f>
        <v>319323.8000000001</v>
      </c>
      <c r="AK118" s="89">
        <f t="shared" si="11"/>
        <v>196441.13740999997</v>
      </c>
    </row>
    <row r="119" spans="1:39" ht="15" x14ac:dyDescent="0.2">
      <c r="A119" s="85" t="s">
        <v>99</v>
      </c>
      <c r="B119" s="80" t="s">
        <v>913</v>
      </c>
      <c r="C119" s="530" t="s">
        <v>13</v>
      </c>
      <c r="D119" s="140">
        <f>SUM(D121:D161)</f>
        <v>515764.93741000007</v>
      </c>
      <c r="E119" s="140">
        <f>SUM(E121:E161)</f>
        <v>550989.82276000024</v>
      </c>
      <c r="F119" s="140">
        <f>SUM(F121:F161)</f>
        <v>35224.885349999997</v>
      </c>
      <c r="G119" s="213"/>
      <c r="AJ119" s="140">
        <f>SUM(AJ121:AJ161)</f>
        <v>319323.8000000001</v>
      </c>
      <c r="AK119" s="89">
        <f t="shared" si="11"/>
        <v>196441.13740999997</v>
      </c>
    </row>
    <row r="120" spans="1:39" ht="14.25" x14ac:dyDescent="0.2">
      <c r="A120" s="86"/>
      <c r="B120" s="81"/>
      <c r="C120" s="215" t="s">
        <v>12</v>
      </c>
      <c r="D120" s="140"/>
      <c r="E120" s="140"/>
      <c r="F120" s="140">
        <f t="shared" si="8"/>
        <v>0</v>
      </c>
      <c r="G120" s="213">
        <v>-19230.8</v>
      </c>
      <c r="AJ120" s="140"/>
      <c r="AK120" s="89">
        <f t="shared" si="11"/>
        <v>0</v>
      </c>
    </row>
    <row r="121" spans="1:39" ht="28.5" hidden="1" customHeight="1" x14ac:dyDescent="0.2">
      <c r="A121" s="110" t="s">
        <v>182</v>
      </c>
      <c r="B121" s="80" t="s">
        <v>913</v>
      </c>
      <c r="C121" s="530" t="s">
        <v>967</v>
      </c>
      <c r="D121" s="223">
        <v>0</v>
      </c>
      <c r="E121" s="223">
        <v>0</v>
      </c>
      <c r="F121" s="140">
        <f t="shared" si="8"/>
        <v>0</v>
      </c>
      <c r="G121" s="213">
        <v>268.2</v>
      </c>
      <c r="AJ121" s="223">
        <v>105</v>
      </c>
      <c r="AK121" s="89">
        <f t="shared" si="11"/>
        <v>-105</v>
      </c>
    </row>
    <row r="122" spans="1:39" ht="27" hidden="1" customHeight="1" x14ac:dyDescent="0.2">
      <c r="A122" s="110" t="s">
        <v>644</v>
      </c>
      <c r="B122" s="80" t="s">
        <v>913</v>
      </c>
      <c r="C122" s="530" t="s">
        <v>252</v>
      </c>
      <c r="D122" s="223">
        <v>0</v>
      </c>
      <c r="E122" s="223">
        <v>0</v>
      </c>
      <c r="F122" s="140">
        <f t="shared" si="8"/>
        <v>0</v>
      </c>
      <c r="G122" s="213">
        <v>-20</v>
      </c>
      <c r="AJ122" s="223">
        <v>204.3</v>
      </c>
      <c r="AK122" s="89">
        <f t="shared" si="11"/>
        <v>-204.3</v>
      </c>
    </row>
    <row r="123" spans="1:39" ht="20.25" customHeight="1" x14ac:dyDescent="0.2">
      <c r="A123" s="110" t="s">
        <v>644</v>
      </c>
      <c r="B123" s="80" t="s">
        <v>913</v>
      </c>
      <c r="C123" s="90" t="s">
        <v>1877</v>
      </c>
      <c r="D123" s="633">
        <v>1371.8788500000001</v>
      </c>
      <c r="E123" s="633">
        <v>1371.8788500000001</v>
      </c>
      <c r="F123" s="140">
        <f t="shared" si="8"/>
        <v>0</v>
      </c>
      <c r="G123" s="213">
        <f>F123+F126+F127+F132+F135+F136+F139</f>
        <v>4245.3999999999987</v>
      </c>
      <c r="AJ123" s="223"/>
      <c r="AK123" s="89">
        <f t="shared" si="11"/>
        <v>1371.8788500000001</v>
      </c>
    </row>
    <row r="124" spans="1:39" ht="20.25" customHeight="1" x14ac:dyDescent="0.2">
      <c r="A124" s="110" t="s">
        <v>644</v>
      </c>
      <c r="B124" s="80" t="s">
        <v>913</v>
      </c>
      <c r="C124" s="90" t="s">
        <v>1930</v>
      </c>
      <c r="D124" s="633">
        <v>200</v>
      </c>
      <c r="E124" s="633">
        <v>200</v>
      </c>
      <c r="F124" s="140">
        <f t="shared" si="8"/>
        <v>0</v>
      </c>
      <c r="G124" s="213"/>
      <c r="AJ124" s="223"/>
      <c r="AK124" s="89"/>
    </row>
    <row r="125" spans="1:39" ht="65.25" customHeight="1" x14ac:dyDescent="0.2">
      <c r="A125" s="110" t="s">
        <v>644</v>
      </c>
      <c r="B125" s="80" t="s">
        <v>913</v>
      </c>
      <c r="C125" s="90" t="s">
        <v>1878</v>
      </c>
      <c r="D125" s="633">
        <v>864.13499999999999</v>
      </c>
      <c r="E125" s="633">
        <v>864.13499999999999</v>
      </c>
      <c r="F125" s="140">
        <f t="shared" si="8"/>
        <v>0</v>
      </c>
      <c r="G125" s="213"/>
      <c r="AJ125" s="223"/>
      <c r="AK125" s="89">
        <f t="shared" si="11"/>
        <v>864.13499999999999</v>
      </c>
    </row>
    <row r="126" spans="1:39" ht="47.25" customHeight="1" x14ac:dyDescent="0.2">
      <c r="A126" s="94" t="s">
        <v>7</v>
      </c>
      <c r="B126" s="80" t="s">
        <v>913</v>
      </c>
      <c r="C126" s="530" t="s">
        <v>881</v>
      </c>
      <c r="D126" s="633">
        <v>11086.6</v>
      </c>
      <c r="E126" s="633">
        <v>12200.1</v>
      </c>
      <c r="F126" s="140">
        <f t="shared" si="8"/>
        <v>1113.5</v>
      </c>
      <c r="G126" s="213"/>
      <c r="AJ126" s="223">
        <v>7819.4</v>
      </c>
      <c r="AK126" s="89">
        <f t="shared" si="11"/>
        <v>3267.2000000000007</v>
      </c>
      <c r="AM126" s="435" t="s">
        <v>1337</v>
      </c>
    </row>
    <row r="127" spans="1:39" ht="15" customHeight="1" x14ac:dyDescent="0.2">
      <c r="A127" s="110" t="s">
        <v>7</v>
      </c>
      <c r="B127" s="80" t="s">
        <v>913</v>
      </c>
      <c r="C127" s="530" t="s">
        <v>699</v>
      </c>
      <c r="D127" s="633">
        <v>36860.5</v>
      </c>
      <c r="E127" s="633">
        <v>40486.6</v>
      </c>
      <c r="F127" s="140">
        <f t="shared" si="8"/>
        <v>3626.0999999999985</v>
      </c>
      <c r="G127" s="213"/>
      <c r="AJ127" s="223">
        <v>16580.400000000001</v>
      </c>
      <c r="AK127" s="89">
        <f t="shared" si="11"/>
        <v>20280.099999999999</v>
      </c>
      <c r="AM127" s="435" t="s">
        <v>1338</v>
      </c>
    </row>
    <row r="128" spans="1:39" ht="16.5" hidden="1" customHeight="1" x14ac:dyDescent="0.2">
      <c r="A128" s="110" t="s">
        <v>7</v>
      </c>
      <c r="B128" s="80" t="s">
        <v>913</v>
      </c>
      <c r="C128" s="215" t="s">
        <v>1838</v>
      </c>
      <c r="D128" s="223"/>
      <c r="E128" s="223"/>
      <c r="F128" s="140">
        <f t="shared" si="8"/>
        <v>0</v>
      </c>
      <c r="G128" s="213"/>
      <c r="AJ128" s="223"/>
      <c r="AK128" s="89">
        <f t="shared" si="11"/>
        <v>0</v>
      </c>
    </row>
    <row r="129" spans="1:37" ht="16.5" hidden="1" customHeight="1" x14ac:dyDescent="0.2">
      <c r="A129" s="110" t="s">
        <v>7</v>
      </c>
      <c r="B129" s="80" t="s">
        <v>913</v>
      </c>
      <c r="C129" s="215" t="s">
        <v>980</v>
      </c>
      <c r="D129" s="223"/>
      <c r="E129" s="223"/>
      <c r="F129" s="140">
        <f t="shared" si="8"/>
        <v>0</v>
      </c>
      <c r="G129" s="213"/>
      <c r="AJ129" s="223"/>
      <c r="AK129" s="89">
        <f t="shared" si="11"/>
        <v>0</v>
      </c>
    </row>
    <row r="130" spans="1:37" ht="15.75" hidden="1" customHeight="1" x14ac:dyDescent="0.2">
      <c r="A130" s="110" t="s">
        <v>7</v>
      </c>
      <c r="B130" s="80" t="s">
        <v>913</v>
      </c>
      <c r="C130" s="215" t="s">
        <v>981</v>
      </c>
      <c r="D130" s="223"/>
      <c r="E130" s="223"/>
      <c r="F130" s="140">
        <f t="shared" si="8"/>
        <v>0</v>
      </c>
      <c r="G130" s="213"/>
      <c r="AJ130" s="223"/>
      <c r="AK130" s="89">
        <f t="shared" si="11"/>
        <v>0</v>
      </c>
    </row>
    <row r="131" spans="1:37" ht="24" hidden="1" x14ac:dyDescent="0.2">
      <c r="A131" s="86">
        <v>958</v>
      </c>
      <c r="B131" s="80" t="s">
        <v>913</v>
      </c>
      <c r="C131" s="215" t="s">
        <v>632</v>
      </c>
      <c r="D131" s="223"/>
      <c r="E131" s="223"/>
      <c r="F131" s="140">
        <f t="shared" si="8"/>
        <v>0</v>
      </c>
      <c r="G131" s="213"/>
      <c r="H131" s="239">
        <f>F131+F143+F151+F130</f>
        <v>0</v>
      </c>
      <c r="AJ131" s="223"/>
      <c r="AK131" s="89">
        <f t="shared" si="11"/>
        <v>0</v>
      </c>
    </row>
    <row r="132" spans="1:37" ht="24" hidden="1" x14ac:dyDescent="0.2">
      <c r="A132" s="85" t="s">
        <v>180</v>
      </c>
      <c r="B132" s="80" t="s">
        <v>913</v>
      </c>
      <c r="C132" s="276" t="s">
        <v>253</v>
      </c>
      <c r="D132" s="223"/>
      <c r="E132" s="223"/>
      <c r="F132" s="140">
        <f t="shared" si="8"/>
        <v>0</v>
      </c>
      <c r="G132" s="213">
        <v>-48.4</v>
      </c>
      <c r="AJ132" s="223"/>
      <c r="AK132" s="89">
        <f t="shared" si="11"/>
        <v>0</v>
      </c>
    </row>
    <row r="133" spans="1:37" ht="24" customHeight="1" x14ac:dyDescent="0.2">
      <c r="A133" s="85" t="s">
        <v>180</v>
      </c>
      <c r="B133" s="80" t="s">
        <v>913</v>
      </c>
      <c r="C133" s="215" t="s">
        <v>1258</v>
      </c>
      <c r="D133" s="633">
        <v>9240.7999999999993</v>
      </c>
      <c r="E133" s="633">
        <v>11290</v>
      </c>
      <c r="F133" s="140">
        <f t="shared" si="8"/>
        <v>2049.2000000000007</v>
      </c>
      <c r="G133" s="213"/>
      <c r="AJ133" s="223"/>
      <c r="AK133" s="89">
        <f t="shared" si="11"/>
        <v>9240.7999999999993</v>
      </c>
    </row>
    <row r="134" spans="1:37" ht="23.25" hidden="1" customHeight="1" x14ac:dyDescent="0.2">
      <c r="A134" s="85" t="s">
        <v>180</v>
      </c>
      <c r="B134" s="80" t="s">
        <v>913</v>
      </c>
      <c r="C134" s="215" t="s">
        <v>1256</v>
      </c>
      <c r="D134" s="223"/>
      <c r="E134" s="223"/>
      <c r="F134" s="140">
        <f t="shared" si="8"/>
        <v>0</v>
      </c>
      <c r="G134" s="213"/>
      <c r="AJ134" s="223">
        <v>4382.2</v>
      </c>
      <c r="AK134" s="89">
        <f t="shared" si="11"/>
        <v>-4382.2</v>
      </c>
    </row>
    <row r="135" spans="1:37" ht="15" hidden="1" x14ac:dyDescent="0.2">
      <c r="A135" s="85" t="s">
        <v>180</v>
      </c>
      <c r="B135" s="80" t="s">
        <v>913</v>
      </c>
      <c r="C135" s="90" t="s">
        <v>1522</v>
      </c>
      <c r="D135" s="223"/>
      <c r="E135" s="223"/>
      <c r="F135" s="140">
        <f t="shared" si="8"/>
        <v>0</v>
      </c>
      <c r="G135" s="213"/>
      <c r="AJ135" s="223"/>
      <c r="AK135" s="89">
        <f t="shared" si="11"/>
        <v>0</v>
      </c>
    </row>
    <row r="136" spans="1:37" ht="24.75" customHeight="1" x14ac:dyDescent="0.2">
      <c r="A136" s="85" t="s">
        <v>180</v>
      </c>
      <c r="B136" s="80" t="s">
        <v>913</v>
      </c>
      <c r="C136" s="530" t="s">
        <v>1070</v>
      </c>
      <c r="D136" s="633">
        <v>699</v>
      </c>
      <c r="E136" s="633">
        <v>204.8</v>
      </c>
      <c r="F136" s="140">
        <f t="shared" si="8"/>
        <v>-494.2</v>
      </c>
      <c r="G136" s="213"/>
      <c r="AJ136" s="223">
        <v>839.8</v>
      </c>
      <c r="AK136" s="89">
        <f t="shared" si="11"/>
        <v>-140.79999999999995</v>
      </c>
    </row>
    <row r="137" spans="1:37" ht="21.75" hidden="1" customHeight="1" x14ac:dyDescent="0.2">
      <c r="A137" s="85" t="s">
        <v>180</v>
      </c>
      <c r="B137" s="80" t="s">
        <v>913</v>
      </c>
      <c r="C137" s="276" t="s">
        <v>1091</v>
      </c>
      <c r="D137" s="223"/>
      <c r="E137" s="223"/>
      <c r="F137" s="140">
        <f t="shared" si="8"/>
        <v>0</v>
      </c>
      <c r="G137" s="213"/>
      <c r="AJ137" s="223"/>
      <c r="AK137" s="89">
        <f t="shared" si="11"/>
        <v>0</v>
      </c>
    </row>
    <row r="138" spans="1:37" ht="23.25" customHeight="1" x14ac:dyDescent="0.2">
      <c r="A138" s="85" t="s">
        <v>180</v>
      </c>
      <c r="B138" s="80" t="s">
        <v>913</v>
      </c>
      <c r="C138" s="530" t="s">
        <v>1092</v>
      </c>
      <c r="D138" s="633">
        <v>188113.40000000002</v>
      </c>
      <c r="E138" s="633">
        <v>188113.40000000002</v>
      </c>
      <c r="F138" s="140">
        <f t="shared" si="8"/>
        <v>0</v>
      </c>
      <c r="G138" s="213"/>
      <c r="AJ138" s="223">
        <v>111169.60000000001</v>
      </c>
      <c r="AK138" s="89">
        <f t="shared" si="11"/>
        <v>76943.800000000017</v>
      </c>
    </row>
    <row r="139" spans="1:37" ht="23.25" customHeight="1" x14ac:dyDescent="0.2">
      <c r="A139" s="110" t="s">
        <v>180</v>
      </c>
      <c r="B139" s="80" t="s">
        <v>913</v>
      </c>
      <c r="C139" s="530" t="s">
        <v>882</v>
      </c>
      <c r="D139" s="633">
        <v>26987.4</v>
      </c>
      <c r="E139" s="633">
        <v>26987.4</v>
      </c>
      <c r="F139" s="140">
        <f t="shared" si="8"/>
        <v>0</v>
      </c>
      <c r="G139" s="213"/>
      <c r="AJ139" s="223">
        <v>11039.7</v>
      </c>
      <c r="AK139" s="89">
        <f t="shared" si="11"/>
        <v>15947.7</v>
      </c>
    </row>
    <row r="140" spans="1:37" ht="23.25" hidden="1" customHeight="1" x14ac:dyDescent="0.2">
      <c r="A140" s="110" t="s">
        <v>180</v>
      </c>
      <c r="B140" s="80" t="s">
        <v>913</v>
      </c>
      <c r="C140" s="530" t="s">
        <v>1645</v>
      </c>
      <c r="D140" s="223"/>
      <c r="E140" s="223"/>
      <c r="F140" s="140">
        <f t="shared" si="8"/>
        <v>0</v>
      </c>
      <c r="G140" s="213"/>
      <c r="AJ140" s="223"/>
      <c r="AK140" s="89"/>
    </row>
    <row r="141" spans="1:37" ht="15.75" hidden="1" customHeight="1" x14ac:dyDescent="0.2">
      <c r="A141" s="110" t="s">
        <v>180</v>
      </c>
      <c r="B141" s="80" t="s">
        <v>913</v>
      </c>
      <c r="C141" s="90" t="s">
        <v>1257</v>
      </c>
      <c r="D141" s="223"/>
      <c r="E141" s="223"/>
      <c r="F141" s="140">
        <f t="shared" si="8"/>
        <v>0</v>
      </c>
      <c r="G141" s="213"/>
      <c r="AJ141" s="223"/>
      <c r="AK141" s="89">
        <f t="shared" si="11"/>
        <v>0</v>
      </c>
    </row>
    <row r="142" spans="1:37" ht="24" customHeight="1" x14ac:dyDescent="0.2">
      <c r="A142" s="110" t="s">
        <v>180</v>
      </c>
      <c r="B142" s="80" t="s">
        <v>913</v>
      </c>
      <c r="C142" s="215" t="s">
        <v>1830</v>
      </c>
      <c r="D142" s="633">
        <v>154.9</v>
      </c>
      <c r="E142" s="633">
        <v>154.9</v>
      </c>
      <c r="F142" s="140">
        <f t="shared" si="8"/>
        <v>0</v>
      </c>
      <c r="G142" s="213"/>
      <c r="AJ142" s="223"/>
      <c r="AK142" s="89">
        <f t="shared" si="11"/>
        <v>154.9</v>
      </c>
    </row>
    <row r="143" spans="1:37" ht="15.75" customHeight="1" x14ac:dyDescent="0.2">
      <c r="A143" s="86">
        <v>960</v>
      </c>
      <c r="B143" s="80" t="s">
        <v>913</v>
      </c>
      <c r="C143" s="530" t="s">
        <v>1495</v>
      </c>
      <c r="D143" s="633">
        <v>4920</v>
      </c>
      <c r="E143" s="633">
        <v>4920</v>
      </c>
      <c r="F143" s="140">
        <f t="shared" si="8"/>
        <v>0</v>
      </c>
      <c r="G143" s="213">
        <v>5244.3</v>
      </c>
      <c r="I143" s="421">
        <f>10703.8+335.9</f>
        <v>11039.699999999999</v>
      </c>
      <c r="M143" s="367" t="s">
        <v>1851</v>
      </c>
      <c r="AJ143" s="223">
        <v>5091.8</v>
      </c>
      <c r="AK143" s="89">
        <f t="shared" si="11"/>
        <v>-171.80000000000018</v>
      </c>
    </row>
    <row r="144" spans="1:37" ht="24" customHeight="1" x14ac:dyDescent="0.2">
      <c r="A144" s="86">
        <v>959</v>
      </c>
      <c r="B144" s="80" t="s">
        <v>913</v>
      </c>
      <c r="C144" s="530" t="s">
        <v>1296</v>
      </c>
      <c r="D144" s="633">
        <f>173-4</f>
        <v>169</v>
      </c>
      <c r="E144" s="633">
        <f>173-4</f>
        <v>169</v>
      </c>
      <c r="F144" s="140">
        <f t="shared" si="8"/>
        <v>0</v>
      </c>
      <c r="G144" s="213"/>
      <c r="I144" s="421">
        <v>5546.2</v>
      </c>
      <c r="AJ144" s="223">
        <v>67.400000000000006</v>
      </c>
      <c r="AK144" s="89">
        <f t="shared" si="11"/>
        <v>101.6</v>
      </c>
    </row>
    <row r="145" spans="1:45" ht="18.75" hidden="1" customHeight="1" x14ac:dyDescent="0.2">
      <c r="A145" s="134" t="s">
        <v>98</v>
      </c>
      <c r="B145" s="80" t="s">
        <v>913</v>
      </c>
      <c r="C145" s="90" t="s">
        <v>780</v>
      </c>
      <c r="D145" s="223"/>
      <c r="E145" s="223"/>
      <c r="F145" s="140">
        <f t="shared" si="8"/>
        <v>0</v>
      </c>
      <c r="G145" s="213"/>
      <c r="AJ145" s="223"/>
      <c r="AK145" s="89">
        <f t="shared" si="11"/>
        <v>0</v>
      </c>
    </row>
    <row r="146" spans="1:45" ht="27.75" hidden="1" customHeight="1" x14ac:dyDescent="0.2">
      <c r="A146" s="86">
        <v>961</v>
      </c>
      <c r="B146" s="80" t="s">
        <v>913</v>
      </c>
      <c r="C146" s="276" t="s">
        <v>1089</v>
      </c>
      <c r="D146" s="223"/>
      <c r="E146" s="223"/>
      <c r="F146" s="140">
        <f t="shared" si="8"/>
        <v>0</v>
      </c>
      <c r="G146" s="213"/>
      <c r="AJ146" s="223"/>
      <c r="AK146" s="89">
        <f t="shared" si="11"/>
        <v>0</v>
      </c>
    </row>
    <row r="147" spans="1:45" ht="38.25" customHeight="1" x14ac:dyDescent="0.2">
      <c r="A147" s="110" t="s">
        <v>98</v>
      </c>
      <c r="B147" s="80" t="s">
        <v>913</v>
      </c>
      <c r="C147" s="215" t="s">
        <v>780</v>
      </c>
      <c r="D147" s="634">
        <v>4502</v>
      </c>
      <c r="E147" s="634">
        <v>4502</v>
      </c>
      <c r="F147" s="140">
        <f t="shared" si="8"/>
        <v>0</v>
      </c>
      <c r="G147" s="213"/>
      <c r="AJ147" s="140">
        <v>6676</v>
      </c>
      <c r="AK147" s="89">
        <f t="shared" si="11"/>
        <v>-2174</v>
      </c>
    </row>
    <row r="148" spans="1:45" ht="22.5" customHeight="1" x14ac:dyDescent="0.2">
      <c r="A148" s="110" t="s">
        <v>98</v>
      </c>
      <c r="B148" s="80" t="s">
        <v>913</v>
      </c>
      <c r="C148" s="215" t="s">
        <v>1876</v>
      </c>
      <c r="D148" s="633">
        <v>44706.561560000002</v>
      </c>
      <c r="E148" s="633">
        <v>49223.944430000003</v>
      </c>
      <c r="F148" s="140">
        <f t="shared" si="8"/>
        <v>4517.3828700000013</v>
      </c>
      <c r="G148" s="213">
        <v>918.2</v>
      </c>
      <c r="AJ148" s="223">
        <v>43560.3</v>
      </c>
      <c r="AK148" s="89">
        <f t="shared" si="11"/>
        <v>1146.261559999999</v>
      </c>
    </row>
    <row r="149" spans="1:45" ht="17.25" customHeight="1" x14ac:dyDescent="0.2">
      <c r="A149" s="110" t="s">
        <v>98</v>
      </c>
      <c r="B149" s="80" t="s">
        <v>913</v>
      </c>
      <c r="C149" s="215" t="s">
        <v>1991</v>
      </c>
      <c r="D149" s="223"/>
      <c r="E149" s="223">
        <v>280</v>
      </c>
      <c r="F149" s="140">
        <f t="shared" si="8"/>
        <v>280</v>
      </c>
      <c r="G149" s="213"/>
      <c r="AJ149" s="223"/>
      <c r="AK149" s="89">
        <f t="shared" si="11"/>
        <v>0</v>
      </c>
    </row>
    <row r="150" spans="1:45" ht="27.75" customHeight="1" x14ac:dyDescent="0.2">
      <c r="A150" s="110" t="s">
        <v>182</v>
      </c>
      <c r="B150" s="80" t="s">
        <v>913</v>
      </c>
      <c r="C150" s="530" t="s">
        <v>1247</v>
      </c>
      <c r="D150" s="633">
        <v>163842.5</v>
      </c>
      <c r="E150" s="633">
        <v>163842.5</v>
      </c>
      <c r="F150" s="140">
        <f t="shared" si="8"/>
        <v>0</v>
      </c>
      <c r="G150" s="213"/>
      <c r="AJ150" s="223">
        <v>43279.7</v>
      </c>
      <c r="AK150" s="89">
        <f t="shared" si="11"/>
        <v>120562.8</v>
      </c>
    </row>
    <row r="151" spans="1:45" ht="23.25" hidden="1" customHeight="1" x14ac:dyDescent="0.2">
      <c r="A151" s="86">
        <v>960</v>
      </c>
      <c r="B151" s="80" t="s">
        <v>913</v>
      </c>
      <c r="C151" s="215" t="s">
        <v>1021</v>
      </c>
      <c r="D151" s="223"/>
      <c r="E151" s="223"/>
      <c r="F151" s="140">
        <f t="shared" si="8"/>
        <v>0</v>
      </c>
      <c r="G151" s="213"/>
      <c r="AJ151" s="223"/>
      <c r="AK151" s="89">
        <f t="shared" si="11"/>
        <v>0</v>
      </c>
    </row>
    <row r="152" spans="1:45" ht="25.5" hidden="1" customHeight="1" x14ac:dyDescent="0.2">
      <c r="A152" s="110" t="s">
        <v>204</v>
      </c>
      <c r="B152" s="80" t="s">
        <v>913</v>
      </c>
      <c r="C152" s="215" t="s">
        <v>842</v>
      </c>
      <c r="D152" s="223"/>
      <c r="E152" s="223"/>
      <c r="F152" s="140">
        <f t="shared" si="8"/>
        <v>0</v>
      </c>
      <c r="G152" s="213"/>
      <c r="AJ152" s="223"/>
      <c r="AK152" s="89">
        <f t="shared" si="11"/>
        <v>0</v>
      </c>
    </row>
    <row r="153" spans="1:45" ht="27" hidden="1" customHeight="1" thickBot="1" x14ac:dyDescent="0.25">
      <c r="A153" s="110" t="s">
        <v>204</v>
      </c>
      <c r="B153" s="80" t="s">
        <v>913</v>
      </c>
      <c r="C153" s="276" t="s">
        <v>1088</v>
      </c>
      <c r="D153" s="223"/>
      <c r="E153" s="223"/>
      <c r="F153" s="140">
        <f t="shared" si="8"/>
        <v>0</v>
      </c>
      <c r="G153" s="213"/>
      <c r="AJ153" s="223"/>
      <c r="AK153" s="89">
        <f t="shared" si="11"/>
        <v>0</v>
      </c>
    </row>
    <row r="154" spans="1:45" ht="18" hidden="1" customHeight="1" thickBot="1" x14ac:dyDescent="0.25">
      <c r="A154" s="110" t="s">
        <v>204</v>
      </c>
      <c r="B154" s="80" t="s">
        <v>913</v>
      </c>
      <c r="C154" s="530" t="s">
        <v>1428</v>
      </c>
      <c r="D154" s="223"/>
      <c r="E154" s="223"/>
      <c r="F154" s="140">
        <f t="shared" si="8"/>
        <v>0</v>
      </c>
      <c r="AJ154" s="223"/>
      <c r="AK154" s="89">
        <f t="shared" si="11"/>
        <v>0</v>
      </c>
      <c r="AR154" s="438" t="s">
        <v>1339</v>
      </c>
      <c r="AS154" s="436" t="s">
        <v>1340</v>
      </c>
    </row>
    <row r="155" spans="1:45" ht="24.75" hidden="1" customHeight="1" thickBot="1" x14ac:dyDescent="0.25">
      <c r="A155" s="110" t="s">
        <v>204</v>
      </c>
      <c r="B155" s="80" t="s">
        <v>913</v>
      </c>
      <c r="C155" s="90" t="s">
        <v>1677</v>
      </c>
      <c r="D155" s="633"/>
      <c r="E155" s="633"/>
      <c r="F155" s="140">
        <f t="shared" si="8"/>
        <v>0</v>
      </c>
      <c r="G155" s="213"/>
      <c r="H155" s="141" t="s">
        <v>1117</v>
      </c>
      <c r="I155" s="141" t="s">
        <v>1118</v>
      </c>
      <c r="AJ155" s="223">
        <v>15788.2</v>
      </c>
      <c r="AK155" s="89">
        <f t="shared" si="11"/>
        <v>-15788.2</v>
      </c>
      <c r="AR155" s="439" t="s">
        <v>1341</v>
      </c>
      <c r="AS155" s="437" t="s">
        <v>1342</v>
      </c>
    </row>
    <row r="156" spans="1:45" ht="17.25" customHeight="1" thickBot="1" x14ac:dyDescent="0.25">
      <c r="A156" s="110" t="s">
        <v>204</v>
      </c>
      <c r="B156" s="80" t="s">
        <v>913</v>
      </c>
      <c r="C156" s="90" t="s">
        <v>1875</v>
      </c>
      <c r="D156" s="633">
        <v>1691.162</v>
      </c>
      <c r="E156" s="633">
        <v>1691.162</v>
      </c>
      <c r="F156" s="140">
        <f t="shared" si="8"/>
        <v>0</v>
      </c>
      <c r="G156" s="213"/>
      <c r="AJ156" s="223"/>
      <c r="AK156" s="89"/>
      <c r="AR156" s="439"/>
      <c r="AS156" s="437"/>
    </row>
    <row r="157" spans="1:45" ht="21" customHeight="1" thickBot="1" x14ac:dyDescent="0.25">
      <c r="A157" s="86">
        <v>961</v>
      </c>
      <c r="B157" s="80" t="s">
        <v>913</v>
      </c>
      <c r="C157" s="215" t="s">
        <v>808</v>
      </c>
      <c r="D157" s="633">
        <v>557.20000000000005</v>
      </c>
      <c r="E157" s="633">
        <v>22861.402480000001</v>
      </c>
      <c r="F157" s="140">
        <f t="shared" si="8"/>
        <v>22304.20248</v>
      </c>
      <c r="G157" s="213">
        <v>462.7</v>
      </c>
      <c r="H157" s="141">
        <f>20000-20000</f>
        <v>0</v>
      </c>
      <c r="I157" s="267">
        <f>31251.1-20000</f>
        <v>11251.099999999999</v>
      </c>
      <c r="AJ157" s="223">
        <v>47462.7</v>
      </c>
      <c r="AK157" s="89">
        <f t="shared" si="11"/>
        <v>-46905.5</v>
      </c>
      <c r="AN157">
        <v>7000</v>
      </c>
      <c r="AO157">
        <v>462.7</v>
      </c>
      <c r="AP157">
        <v>35649.599999999999</v>
      </c>
      <c r="AR157" s="439" t="s">
        <v>1343</v>
      </c>
      <c r="AS157" s="437" t="s">
        <v>1344</v>
      </c>
    </row>
    <row r="158" spans="1:45" ht="36" customHeight="1" x14ac:dyDescent="0.2">
      <c r="A158" s="86">
        <v>961</v>
      </c>
      <c r="B158" s="80" t="s">
        <v>913</v>
      </c>
      <c r="C158" s="215" t="s">
        <v>1874</v>
      </c>
      <c r="D158" s="633">
        <v>10189.299999999999</v>
      </c>
      <c r="E158" s="633">
        <v>10189.299999999999</v>
      </c>
      <c r="F158" s="140">
        <f t="shared" si="8"/>
        <v>0</v>
      </c>
      <c r="G158" s="213"/>
      <c r="I158" s="267"/>
      <c r="AJ158" s="223"/>
      <c r="AK158" s="89">
        <f t="shared" si="11"/>
        <v>10189.299999999999</v>
      </c>
    </row>
    <row r="159" spans="1:45" ht="13.5" customHeight="1" x14ac:dyDescent="0.2">
      <c r="A159" s="86">
        <v>979</v>
      </c>
      <c r="B159" s="80" t="s">
        <v>913</v>
      </c>
      <c r="C159" s="215" t="s">
        <v>1392</v>
      </c>
      <c r="D159" s="633">
        <v>100</v>
      </c>
      <c r="E159" s="633">
        <v>100</v>
      </c>
      <c r="F159" s="140">
        <f t="shared" si="8"/>
        <v>0</v>
      </c>
      <c r="G159" s="213"/>
      <c r="I159" s="267"/>
      <c r="AJ159" s="223"/>
      <c r="AK159" s="89">
        <f t="shared" si="11"/>
        <v>100</v>
      </c>
    </row>
    <row r="160" spans="1:45" ht="15" x14ac:dyDescent="0.2">
      <c r="A160" s="110" t="s">
        <v>970</v>
      </c>
      <c r="B160" s="80" t="s">
        <v>913</v>
      </c>
      <c r="C160" s="530" t="s">
        <v>212</v>
      </c>
      <c r="D160" s="648">
        <v>659</v>
      </c>
      <c r="E160" s="648">
        <v>659</v>
      </c>
      <c r="F160" s="140">
        <f t="shared" si="8"/>
        <v>0</v>
      </c>
      <c r="G160" s="213"/>
      <c r="AJ160" s="223">
        <v>434.9</v>
      </c>
      <c r="AK160" s="89">
        <f t="shared" si="11"/>
        <v>224.10000000000002</v>
      </c>
    </row>
    <row r="161" spans="1:37" ht="16.5" customHeight="1" x14ac:dyDescent="0.2">
      <c r="A161" s="110" t="s">
        <v>970</v>
      </c>
      <c r="B161" s="80" t="s">
        <v>913</v>
      </c>
      <c r="C161" s="530" t="s">
        <v>1090</v>
      </c>
      <c r="D161" s="633">
        <v>8849.6</v>
      </c>
      <c r="E161" s="633">
        <v>10678.300000000001</v>
      </c>
      <c r="F161" s="140">
        <f t="shared" si="8"/>
        <v>1828.7000000000007</v>
      </c>
      <c r="G161" s="213"/>
      <c r="AJ161" s="223">
        <v>4822.3999999999996</v>
      </c>
      <c r="AK161" s="89">
        <f t="shared" si="11"/>
        <v>4027.2000000000007</v>
      </c>
    </row>
    <row r="162" spans="1:37" ht="20.25" customHeight="1" x14ac:dyDescent="0.2">
      <c r="A162" s="86" t="s">
        <v>138</v>
      </c>
      <c r="B162" s="192" t="s">
        <v>914</v>
      </c>
      <c r="C162" s="532" t="s">
        <v>1151</v>
      </c>
      <c r="D162" s="221">
        <f>D163+D165+D202+D196+D199</f>
        <v>454765.82500000007</v>
      </c>
      <c r="E162" s="221">
        <f t="shared" ref="E162:F162" si="12">E163+E165+E202+E196+E199</f>
        <v>454389.55987000011</v>
      </c>
      <c r="F162" s="221">
        <f t="shared" si="12"/>
        <v>-376.26512999995612</v>
      </c>
      <c r="G162" s="416">
        <f>F168+F169+F182+F183+F187+F189+F190+F191</f>
        <v>0</v>
      </c>
      <c r="I162" s="267">
        <v>31251.1</v>
      </c>
      <c r="M162" s="367">
        <v>454389.55987000011</v>
      </c>
      <c r="N162" s="414">
        <f>M162-E162</f>
        <v>0</v>
      </c>
      <c r="AJ162" s="221">
        <f>AJ163+AJ165+AJ202+AJ196</f>
        <v>320798.60000000003</v>
      </c>
      <c r="AK162" s="89">
        <f t="shared" si="11"/>
        <v>133967.22500000003</v>
      </c>
    </row>
    <row r="163" spans="1:37" ht="24.75" customHeight="1" x14ac:dyDescent="0.2">
      <c r="A163" s="193" t="s">
        <v>99</v>
      </c>
      <c r="B163" s="194" t="s">
        <v>915</v>
      </c>
      <c r="C163" s="533" t="s">
        <v>1150</v>
      </c>
      <c r="D163" s="222">
        <f>D164</f>
        <v>4963.5</v>
      </c>
      <c r="E163" s="222">
        <f>E164</f>
        <v>4963.5</v>
      </c>
      <c r="F163" s="222">
        <f t="shared" si="8"/>
        <v>0</v>
      </c>
      <c r="G163" s="417"/>
      <c r="M163" s="367">
        <v>4963.5</v>
      </c>
      <c r="AJ163" s="222">
        <f>AJ164</f>
        <v>4919.1000000000004</v>
      </c>
      <c r="AK163" s="89">
        <f t="shared" si="11"/>
        <v>44.399999999999636</v>
      </c>
    </row>
    <row r="164" spans="1:37" ht="27" customHeight="1" x14ac:dyDescent="0.2">
      <c r="A164" s="86">
        <v>958</v>
      </c>
      <c r="B164" s="80" t="s">
        <v>916</v>
      </c>
      <c r="C164" s="530" t="s">
        <v>226</v>
      </c>
      <c r="D164" s="634">
        <v>4963.5</v>
      </c>
      <c r="E164" s="634">
        <v>4963.5</v>
      </c>
      <c r="F164" s="140">
        <f t="shared" ref="F164:F233" si="13">E164-D164</f>
        <v>0</v>
      </c>
      <c r="G164" s="213"/>
      <c r="AJ164" s="140">
        <v>4919.1000000000004</v>
      </c>
      <c r="AK164" s="89">
        <f t="shared" si="11"/>
        <v>44.399999999999636</v>
      </c>
    </row>
    <row r="165" spans="1:37" ht="18.75" customHeight="1" x14ac:dyDescent="0.2">
      <c r="A165" s="193" t="s">
        <v>99</v>
      </c>
      <c r="B165" s="194" t="s">
        <v>917</v>
      </c>
      <c r="C165" s="533" t="s">
        <v>1149</v>
      </c>
      <c r="D165" s="222">
        <f>D166</f>
        <v>449790.62500000006</v>
      </c>
      <c r="E165" s="222">
        <f>E166</f>
        <v>449414.3598700001</v>
      </c>
      <c r="F165" s="222">
        <f t="shared" si="13"/>
        <v>-376.26512999995612</v>
      </c>
      <c r="G165" s="417"/>
      <c r="M165" s="367">
        <v>449431.00257000007</v>
      </c>
      <c r="N165" s="414">
        <f>M165-E165</f>
        <v>16.64269999996759</v>
      </c>
      <c r="AJ165" s="222">
        <f>AJ166</f>
        <v>310524.20000000007</v>
      </c>
      <c r="AK165" s="89">
        <f t="shared" si="11"/>
        <v>139266.42499999999</v>
      </c>
    </row>
    <row r="166" spans="1:37" ht="31.5" customHeight="1" x14ac:dyDescent="0.2">
      <c r="A166" s="86" t="s">
        <v>138</v>
      </c>
      <c r="B166" s="80" t="s">
        <v>918</v>
      </c>
      <c r="C166" s="530" t="s">
        <v>959</v>
      </c>
      <c r="D166" s="140">
        <f>SUM(D168:D195)</f>
        <v>449790.62500000006</v>
      </c>
      <c r="E166" s="140">
        <f>SUM(E168:E195)</f>
        <v>449414.3598700001</v>
      </c>
      <c r="F166" s="140">
        <f t="shared" si="13"/>
        <v>-376.26512999995612</v>
      </c>
      <c r="G166" s="213"/>
      <c r="AJ166" s="140">
        <f>SUM(AJ168:AJ195)</f>
        <v>310524.20000000007</v>
      </c>
      <c r="AK166" s="89">
        <f t="shared" si="11"/>
        <v>139266.42499999999</v>
      </c>
    </row>
    <row r="167" spans="1:37" ht="14.25" x14ac:dyDescent="0.2">
      <c r="A167" s="86"/>
      <c r="B167" s="81"/>
      <c r="C167" s="215" t="s">
        <v>12</v>
      </c>
      <c r="D167" s="140"/>
      <c r="E167" s="140"/>
      <c r="F167" s="140">
        <f t="shared" si="13"/>
        <v>0</v>
      </c>
      <c r="G167" s="213"/>
      <c r="AJ167" s="140"/>
      <c r="AK167" s="89">
        <f t="shared" si="11"/>
        <v>0</v>
      </c>
    </row>
    <row r="168" spans="1:37" ht="39.75" customHeight="1" x14ac:dyDescent="0.2">
      <c r="A168" s="86">
        <v>958</v>
      </c>
      <c r="B168" s="80" t="s">
        <v>918</v>
      </c>
      <c r="C168" s="530" t="s">
        <v>54</v>
      </c>
      <c r="D168" s="633">
        <v>326834</v>
      </c>
      <c r="E168" s="633">
        <v>326834</v>
      </c>
      <c r="F168" s="140">
        <f t="shared" si="13"/>
        <v>0</v>
      </c>
      <c r="G168" s="213">
        <v>641.29999999999995</v>
      </c>
      <c r="AJ168" s="223">
        <v>213789.2</v>
      </c>
      <c r="AK168" s="89">
        <f t="shared" si="11"/>
        <v>113044.79999999999</v>
      </c>
    </row>
    <row r="169" spans="1:37" ht="28.5" customHeight="1" x14ac:dyDescent="0.2">
      <c r="A169" s="86">
        <v>958</v>
      </c>
      <c r="B169" s="80" t="s">
        <v>918</v>
      </c>
      <c r="C169" s="530" t="s">
        <v>884</v>
      </c>
      <c r="D169" s="633">
        <v>103152.9</v>
      </c>
      <c r="E169" s="633">
        <v>103152.9</v>
      </c>
      <c r="F169" s="140">
        <f t="shared" si="13"/>
        <v>0</v>
      </c>
      <c r="G169" s="213"/>
      <c r="AJ169" s="223">
        <v>86125.1</v>
      </c>
      <c r="AK169" s="89">
        <f t="shared" si="11"/>
        <v>17027.799999999988</v>
      </c>
    </row>
    <row r="170" spans="1:37" ht="28.5" customHeight="1" x14ac:dyDescent="0.2">
      <c r="A170" s="86">
        <v>958</v>
      </c>
      <c r="B170" s="80" t="s">
        <v>918</v>
      </c>
      <c r="C170" s="530" t="s">
        <v>1143</v>
      </c>
      <c r="D170" s="633">
        <v>2703.3</v>
      </c>
      <c r="E170" s="633">
        <v>2695.39545</v>
      </c>
      <c r="F170" s="140">
        <f t="shared" si="13"/>
        <v>-7.9045500000001994</v>
      </c>
      <c r="G170" s="213">
        <f>E170-D204</f>
        <v>2695.39545</v>
      </c>
      <c r="AJ170" s="223"/>
      <c r="AK170" s="89"/>
    </row>
    <row r="171" spans="1:37" ht="28.5" customHeight="1" x14ac:dyDescent="0.2">
      <c r="A171" s="86">
        <v>958</v>
      </c>
      <c r="B171" s="80" t="s">
        <v>918</v>
      </c>
      <c r="C171" s="530" t="s">
        <v>728</v>
      </c>
      <c r="D171" s="633">
        <v>4354.6000000000004</v>
      </c>
      <c r="E171" s="633">
        <v>4343.1821200000004</v>
      </c>
      <c r="F171" s="140">
        <f t="shared" si="13"/>
        <v>-11.417879999999968</v>
      </c>
      <c r="G171" s="213">
        <f t="shared" ref="G171:G172" si="14">E171-D205</f>
        <v>4343.1821200000004</v>
      </c>
      <c r="AJ171" s="223"/>
      <c r="AK171" s="89"/>
    </row>
    <row r="172" spans="1:37" ht="28.5" customHeight="1" x14ac:dyDescent="0.2">
      <c r="A172" s="86">
        <v>958</v>
      </c>
      <c r="B172" s="80" t="s">
        <v>918</v>
      </c>
      <c r="C172" s="530" t="s">
        <v>571</v>
      </c>
      <c r="D172" s="633">
        <v>65.3</v>
      </c>
      <c r="E172" s="633">
        <v>65.099999999999994</v>
      </c>
      <c r="F172" s="140">
        <f t="shared" si="13"/>
        <v>-0.20000000000000284</v>
      </c>
      <c r="G172" s="213">
        <f t="shared" si="14"/>
        <v>65.099999999999994</v>
      </c>
      <c r="AJ172" s="223"/>
      <c r="AK172" s="89"/>
    </row>
    <row r="173" spans="1:37" ht="24.75" customHeight="1" x14ac:dyDescent="0.2">
      <c r="A173" s="86">
        <v>960</v>
      </c>
      <c r="B173" s="80" t="s">
        <v>918</v>
      </c>
      <c r="C173" s="530" t="s">
        <v>14</v>
      </c>
      <c r="D173" s="633">
        <v>77.400000000000006</v>
      </c>
      <c r="E173" s="633">
        <v>77.400000000000006</v>
      </c>
      <c r="F173" s="140">
        <f t="shared" si="13"/>
        <v>0</v>
      </c>
      <c r="G173" s="213"/>
      <c r="AJ173" s="223">
        <v>66.7</v>
      </c>
      <c r="AK173" s="89">
        <f t="shared" si="11"/>
        <v>10.700000000000003</v>
      </c>
    </row>
    <row r="174" spans="1:37" ht="118.5" customHeight="1" x14ac:dyDescent="0.2">
      <c r="A174" s="86">
        <v>958</v>
      </c>
      <c r="B174" s="80" t="s">
        <v>918</v>
      </c>
      <c r="C174" s="530" t="s">
        <v>1093</v>
      </c>
      <c r="D174" s="633">
        <v>4000</v>
      </c>
      <c r="E174" s="633">
        <v>4000</v>
      </c>
      <c r="F174" s="140">
        <f t="shared" si="13"/>
        <v>0</v>
      </c>
      <c r="G174" s="213">
        <v>-7413.7</v>
      </c>
      <c r="AJ174" s="223">
        <v>5289.6</v>
      </c>
      <c r="AK174" s="89">
        <f t="shared" si="11"/>
        <v>-1289.6000000000004</v>
      </c>
    </row>
    <row r="175" spans="1:37" ht="118.5" customHeight="1" x14ac:dyDescent="0.2">
      <c r="A175" s="86">
        <v>979</v>
      </c>
      <c r="B175" s="80" t="s">
        <v>918</v>
      </c>
      <c r="C175" s="530" t="s">
        <v>1093</v>
      </c>
      <c r="D175" s="633">
        <v>383.32499999999999</v>
      </c>
      <c r="E175" s="633">
        <v>383.32499999999999</v>
      </c>
      <c r="F175" s="140">
        <f t="shared" si="13"/>
        <v>0</v>
      </c>
      <c r="G175" s="213"/>
      <c r="AJ175" s="223">
        <v>209.3</v>
      </c>
      <c r="AK175" s="89">
        <f t="shared" si="11"/>
        <v>174.02499999999998</v>
      </c>
    </row>
    <row r="176" spans="1:37" ht="118.5" customHeight="1" x14ac:dyDescent="0.2">
      <c r="A176" s="86">
        <v>957</v>
      </c>
      <c r="B176" s="80" t="s">
        <v>918</v>
      </c>
      <c r="C176" s="530" t="s">
        <v>1093</v>
      </c>
      <c r="D176" s="633">
        <v>489.9</v>
      </c>
      <c r="E176" s="633">
        <v>489.9</v>
      </c>
      <c r="F176" s="140">
        <f t="shared" si="13"/>
        <v>0</v>
      </c>
      <c r="G176" s="213"/>
      <c r="AJ176" s="223">
        <v>409.9</v>
      </c>
      <c r="AK176" s="89">
        <f t="shared" si="11"/>
        <v>80</v>
      </c>
    </row>
    <row r="177" spans="1:37" ht="15.75" customHeight="1" x14ac:dyDescent="0.2">
      <c r="A177" s="86">
        <v>957</v>
      </c>
      <c r="B177" s="80" t="s">
        <v>918</v>
      </c>
      <c r="C177" s="276" t="s">
        <v>1094</v>
      </c>
      <c r="D177" s="223"/>
      <c r="E177" s="223"/>
      <c r="F177" s="140">
        <f t="shared" si="13"/>
        <v>0</v>
      </c>
      <c r="G177" s="213"/>
      <c r="AJ177" s="223"/>
      <c r="AK177" s="89">
        <f t="shared" si="11"/>
        <v>0</v>
      </c>
    </row>
    <row r="178" spans="1:37" ht="24" customHeight="1" x14ac:dyDescent="0.2">
      <c r="A178" s="95">
        <v>922</v>
      </c>
      <c r="B178" s="80" t="s">
        <v>918</v>
      </c>
      <c r="C178" s="530" t="s">
        <v>1059</v>
      </c>
      <c r="D178" s="633">
        <v>406</v>
      </c>
      <c r="E178" s="633">
        <v>66</v>
      </c>
      <c r="F178" s="140">
        <f t="shared" si="13"/>
        <v>-340</v>
      </c>
      <c r="G178" s="213"/>
      <c r="AJ178" s="223">
        <v>381</v>
      </c>
      <c r="AK178" s="89">
        <f t="shared" si="11"/>
        <v>25</v>
      </c>
    </row>
    <row r="179" spans="1:37" ht="24" customHeight="1" x14ac:dyDescent="0.2">
      <c r="A179" s="95">
        <v>922</v>
      </c>
      <c r="B179" s="80" t="s">
        <v>918</v>
      </c>
      <c r="C179" s="530" t="s">
        <v>1060</v>
      </c>
      <c r="D179" s="633">
        <v>1.8</v>
      </c>
      <c r="E179" s="633">
        <v>1.8</v>
      </c>
      <c r="F179" s="140">
        <f t="shared" si="13"/>
        <v>0</v>
      </c>
      <c r="G179" s="213"/>
      <c r="AJ179" s="223">
        <v>1.3</v>
      </c>
      <c r="AK179" s="89">
        <f t="shared" si="11"/>
        <v>0.5</v>
      </c>
    </row>
    <row r="180" spans="1:37" ht="37.5" customHeight="1" x14ac:dyDescent="0.2">
      <c r="A180" s="95">
        <v>961</v>
      </c>
      <c r="B180" s="80" t="s">
        <v>918</v>
      </c>
      <c r="C180" s="530" t="s">
        <v>1888</v>
      </c>
      <c r="D180" s="633">
        <v>148.19999999999999</v>
      </c>
      <c r="E180" s="633">
        <v>148.19999999999999</v>
      </c>
      <c r="F180" s="140">
        <f t="shared" si="13"/>
        <v>0</v>
      </c>
      <c r="G180" s="213"/>
      <c r="AJ180" s="223"/>
      <c r="AK180" s="89">
        <f t="shared" si="11"/>
        <v>148.19999999999999</v>
      </c>
    </row>
    <row r="181" spans="1:37" ht="39.75" customHeight="1" x14ac:dyDescent="0.2">
      <c r="A181" s="95">
        <v>961</v>
      </c>
      <c r="B181" s="80" t="s">
        <v>918</v>
      </c>
      <c r="C181" s="530" t="s">
        <v>1889</v>
      </c>
      <c r="D181" s="633">
        <v>22.2</v>
      </c>
      <c r="E181" s="633">
        <v>22.2</v>
      </c>
      <c r="F181" s="140">
        <f t="shared" si="13"/>
        <v>0</v>
      </c>
      <c r="G181" s="213"/>
      <c r="AJ181" s="223"/>
      <c r="AK181" s="89">
        <f t="shared" si="11"/>
        <v>22.2</v>
      </c>
    </row>
    <row r="182" spans="1:37" ht="21.75" customHeight="1" x14ac:dyDescent="0.2">
      <c r="A182" s="86">
        <v>939</v>
      </c>
      <c r="B182" s="80" t="s">
        <v>918</v>
      </c>
      <c r="C182" s="530" t="s">
        <v>197</v>
      </c>
      <c r="D182" s="633">
        <v>450.2</v>
      </c>
      <c r="E182" s="633">
        <v>450.2</v>
      </c>
      <c r="F182" s="140">
        <f t="shared" si="13"/>
        <v>0</v>
      </c>
      <c r="G182" s="213">
        <v>24.7</v>
      </c>
      <c r="AJ182" s="223">
        <v>315.8</v>
      </c>
      <c r="AK182" s="89">
        <f t="shared" si="11"/>
        <v>134.39999999999998</v>
      </c>
    </row>
    <row r="183" spans="1:37" ht="21.75" customHeight="1" x14ac:dyDescent="0.2">
      <c r="A183" s="86">
        <v>959</v>
      </c>
      <c r="B183" s="80" t="s">
        <v>918</v>
      </c>
      <c r="C183" s="530" t="s">
        <v>15</v>
      </c>
      <c r="D183" s="633">
        <v>923.5</v>
      </c>
      <c r="E183" s="633">
        <v>923.5</v>
      </c>
      <c r="F183" s="140">
        <f t="shared" si="13"/>
        <v>0</v>
      </c>
      <c r="G183" s="213"/>
      <c r="AJ183" s="223">
        <v>653</v>
      </c>
      <c r="AK183" s="89">
        <f t="shared" si="11"/>
        <v>270.5</v>
      </c>
    </row>
    <row r="184" spans="1:37" ht="24" hidden="1" x14ac:dyDescent="0.2">
      <c r="A184" s="146">
        <v>959</v>
      </c>
      <c r="B184" s="80" t="s">
        <v>918</v>
      </c>
      <c r="C184" s="215" t="s">
        <v>306</v>
      </c>
      <c r="D184" s="223"/>
      <c r="E184" s="223"/>
      <c r="F184" s="140">
        <f t="shared" si="13"/>
        <v>0</v>
      </c>
      <c r="G184" s="213"/>
      <c r="AJ184" s="223"/>
      <c r="AK184" s="89">
        <f t="shared" si="11"/>
        <v>0</v>
      </c>
    </row>
    <row r="185" spans="1:37" ht="52.5" customHeight="1" x14ac:dyDescent="0.2">
      <c r="A185" s="86">
        <v>958</v>
      </c>
      <c r="B185" s="80" t="s">
        <v>918</v>
      </c>
      <c r="C185" s="530" t="s">
        <v>883</v>
      </c>
      <c r="D185" s="633">
        <v>74.5</v>
      </c>
      <c r="E185" s="633">
        <v>74.5</v>
      </c>
      <c r="F185" s="140">
        <f t="shared" si="13"/>
        <v>0</v>
      </c>
      <c r="G185" s="213"/>
      <c r="AJ185" s="223">
        <v>84.3</v>
      </c>
      <c r="AK185" s="89">
        <f t="shared" si="11"/>
        <v>-9.7999999999999972</v>
      </c>
    </row>
    <row r="186" spans="1:37" ht="26.25" customHeight="1" x14ac:dyDescent="0.2">
      <c r="A186" s="86">
        <v>958</v>
      </c>
      <c r="B186" s="80" t="s">
        <v>918</v>
      </c>
      <c r="C186" s="530" t="s">
        <v>1148</v>
      </c>
      <c r="D186" s="633">
        <v>40.700000000000003</v>
      </c>
      <c r="E186" s="633">
        <v>40.6</v>
      </c>
      <c r="F186" s="140">
        <f t="shared" si="13"/>
        <v>-0.10000000000000142</v>
      </c>
      <c r="G186" s="213">
        <v>-5.2</v>
      </c>
      <c r="AJ186" s="223">
        <v>32.5</v>
      </c>
      <c r="AK186" s="89">
        <f t="shared" si="11"/>
        <v>8.2000000000000028</v>
      </c>
    </row>
    <row r="187" spans="1:37" ht="39.75" customHeight="1" x14ac:dyDescent="0.2">
      <c r="A187" s="86">
        <v>961</v>
      </c>
      <c r="B187" s="80" t="s">
        <v>918</v>
      </c>
      <c r="C187" s="536" t="s">
        <v>102</v>
      </c>
      <c r="D187" s="634">
        <v>4.5</v>
      </c>
      <c r="E187" s="634">
        <v>4.5</v>
      </c>
      <c r="F187" s="140">
        <f t="shared" si="13"/>
        <v>0</v>
      </c>
      <c r="G187" s="213"/>
      <c r="AJ187" s="140">
        <v>2.9</v>
      </c>
      <c r="AK187" s="89">
        <f t="shared" ref="AK187:AK262" si="15">D187-AJ187</f>
        <v>1.6</v>
      </c>
    </row>
    <row r="188" spans="1:37" ht="25.5" customHeight="1" x14ac:dyDescent="0.2">
      <c r="A188" s="86">
        <v>921</v>
      </c>
      <c r="B188" s="80" t="s">
        <v>918</v>
      </c>
      <c r="C188" s="536" t="s">
        <v>103</v>
      </c>
      <c r="D188" s="634">
        <v>267.7</v>
      </c>
      <c r="E188" s="634">
        <v>267.7</v>
      </c>
      <c r="F188" s="140">
        <f t="shared" si="13"/>
        <v>0</v>
      </c>
      <c r="G188" s="213"/>
      <c r="AJ188" s="140"/>
      <c r="AK188" s="89"/>
    </row>
    <row r="189" spans="1:37" ht="24.75" customHeight="1" x14ac:dyDescent="0.2">
      <c r="A189" s="86">
        <v>959</v>
      </c>
      <c r="B189" s="80" t="s">
        <v>918</v>
      </c>
      <c r="C189" s="536" t="s">
        <v>103</v>
      </c>
      <c r="D189" s="634">
        <f>267.7-267.7</f>
        <v>0</v>
      </c>
      <c r="E189" s="634">
        <f>267.7-267.7</f>
        <v>0</v>
      </c>
      <c r="F189" s="140">
        <f t="shared" si="13"/>
        <v>0</v>
      </c>
      <c r="G189" s="213"/>
      <c r="AJ189" s="140">
        <v>273.2</v>
      </c>
      <c r="AK189" s="89">
        <f t="shared" si="15"/>
        <v>-273.2</v>
      </c>
    </row>
    <row r="190" spans="1:37" ht="24.75" customHeight="1" x14ac:dyDescent="0.2">
      <c r="A190" s="86">
        <v>959</v>
      </c>
      <c r="B190" s="80" t="s">
        <v>918</v>
      </c>
      <c r="C190" s="530" t="s">
        <v>221</v>
      </c>
      <c r="D190" s="634">
        <v>2513.2000000000003</v>
      </c>
      <c r="E190" s="634">
        <v>2513.2000000000003</v>
      </c>
      <c r="F190" s="140">
        <f t="shared" si="13"/>
        <v>0</v>
      </c>
      <c r="G190" s="213"/>
      <c r="AJ190" s="140">
        <v>1343.7</v>
      </c>
      <c r="AK190" s="89">
        <f t="shared" si="15"/>
        <v>1169.5000000000002</v>
      </c>
    </row>
    <row r="191" spans="1:37" ht="24.75" customHeight="1" x14ac:dyDescent="0.2">
      <c r="A191" s="86">
        <v>959</v>
      </c>
      <c r="B191" s="80" t="s">
        <v>918</v>
      </c>
      <c r="C191" s="530" t="s">
        <v>1147</v>
      </c>
      <c r="D191" s="634">
        <v>1256.6000000000001</v>
      </c>
      <c r="E191" s="634">
        <v>1256.6000000000001</v>
      </c>
      <c r="F191" s="140">
        <f t="shared" si="13"/>
        <v>0</v>
      </c>
      <c r="G191" s="213"/>
      <c r="AJ191" s="140">
        <v>895.8</v>
      </c>
      <c r="AK191" s="89">
        <f t="shared" si="15"/>
        <v>360.80000000000018</v>
      </c>
    </row>
    <row r="192" spans="1:37" ht="37.5" customHeight="1" x14ac:dyDescent="0.2">
      <c r="A192" s="86">
        <v>959</v>
      </c>
      <c r="B192" s="80" t="s">
        <v>918</v>
      </c>
      <c r="C192" s="530" t="s">
        <v>1226</v>
      </c>
      <c r="D192" s="634">
        <v>723.19999999999993</v>
      </c>
      <c r="E192" s="634">
        <v>723.19999999999993</v>
      </c>
      <c r="F192" s="140">
        <f t="shared" si="13"/>
        <v>0</v>
      </c>
      <c r="G192" s="213"/>
      <c r="AJ192" s="140">
        <v>5.4</v>
      </c>
      <c r="AK192" s="89">
        <f t="shared" si="15"/>
        <v>717.8</v>
      </c>
    </row>
    <row r="193" spans="1:39" ht="27.75" customHeight="1" x14ac:dyDescent="0.2">
      <c r="A193" s="86">
        <v>922</v>
      </c>
      <c r="B193" s="80" t="s">
        <v>918</v>
      </c>
      <c r="C193" s="530" t="s">
        <v>1245</v>
      </c>
      <c r="D193" s="634">
        <v>884.3</v>
      </c>
      <c r="E193" s="634">
        <v>867.90197999999998</v>
      </c>
      <c r="F193" s="140">
        <f t="shared" si="13"/>
        <v>-16.398019999999974</v>
      </c>
      <c r="G193" s="213"/>
      <c r="AJ193" s="140">
        <v>636</v>
      </c>
      <c r="AK193" s="89">
        <f t="shared" si="15"/>
        <v>248.29999999999995</v>
      </c>
    </row>
    <row r="194" spans="1:39" ht="24.75" customHeight="1" x14ac:dyDescent="0.2">
      <c r="A194" s="86">
        <v>922</v>
      </c>
      <c r="B194" s="80" t="s">
        <v>918</v>
      </c>
      <c r="C194" s="530" t="s">
        <v>1246</v>
      </c>
      <c r="D194" s="634">
        <v>13.3</v>
      </c>
      <c r="E194" s="634">
        <v>13.05532</v>
      </c>
      <c r="F194" s="140">
        <f t="shared" si="13"/>
        <v>-0.24468000000000067</v>
      </c>
      <c r="G194" s="213"/>
      <c r="AJ194" s="140">
        <v>9.5</v>
      </c>
      <c r="AK194" s="89">
        <f t="shared" si="15"/>
        <v>3.8000000000000007</v>
      </c>
    </row>
    <row r="195" spans="1:39" ht="27.75" hidden="1" customHeight="1" x14ac:dyDescent="0.2">
      <c r="A195" s="86">
        <v>979</v>
      </c>
      <c r="B195" s="80" t="s">
        <v>918</v>
      </c>
      <c r="C195" s="215" t="s">
        <v>1095</v>
      </c>
      <c r="D195" s="140"/>
      <c r="E195" s="140"/>
      <c r="F195" s="140">
        <f t="shared" si="13"/>
        <v>0</v>
      </c>
      <c r="G195" s="213"/>
      <c r="AJ195" s="140"/>
      <c r="AK195" s="89">
        <f t="shared" si="15"/>
        <v>0</v>
      </c>
    </row>
    <row r="196" spans="1:39" ht="36" customHeight="1" x14ac:dyDescent="0.2">
      <c r="A196" s="193" t="s">
        <v>99</v>
      </c>
      <c r="B196" s="194" t="s">
        <v>919</v>
      </c>
      <c r="C196" s="533" t="s">
        <v>1146</v>
      </c>
      <c r="D196" s="222">
        <f>D197</f>
        <v>11.7</v>
      </c>
      <c r="E196" s="222">
        <f>E197</f>
        <v>11.7</v>
      </c>
      <c r="F196" s="222">
        <f t="shared" si="13"/>
        <v>0</v>
      </c>
      <c r="G196" s="417"/>
      <c r="AJ196" s="222">
        <f>AJ197</f>
        <v>7.1</v>
      </c>
      <c r="AK196" s="89">
        <f t="shared" si="15"/>
        <v>4.5999999999999996</v>
      </c>
    </row>
    <row r="197" spans="1:39" ht="40.5" customHeight="1" x14ac:dyDescent="0.2">
      <c r="A197" s="110" t="s">
        <v>99</v>
      </c>
      <c r="B197" s="80" t="s">
        <v>920</v>
      </c>
      <c r="C197" s="530" t="s">
        <v>964</v>
      </c>
      <c r="D197" s="140">
        <f>D198</f>
        <v>11.7</v>
      </c>
      <c r="E197" s="140">
        <f>E198</f>
        <v>11.7</v>
      </c>
      <c r="F197" s="140">
        <f t="shared" si="13"/>
        <v>0</v>
      </c>
      <c r="G197" s="213"/>
      <c r="AJ197" s="140">
        <f>AJ198</f>
        <v>7.1</v>
      </c>
      <c r="AK197" s="89">
        <f t="shared" si="15"/>
        <v>4.5999999999999996</v>
      </c>
    </row>
    <row r="198" spans="1:39" ht="36" customHeight="1" x14ac:dyDescent="0.2">
      <c r="A198" s="139">
        <v>959</v>
      </c>
      <c r="B198" s="80" t="s">
        <v>920</v>
      </c>
      <c r="C198" s="530" t="s">
        <v>964</v>
      </c>
      <c r="D198" s="634">
        <v>11.7</v>
      </c>
      <c r="E198" s="634">
        <v>11.7</v>
      </c>
      <c r="F198" s="140">
        <f t="shared" si="13"/>
        <v>0</v>
      </c>
      <c r="G198" s="213"/>
      <c r="AJ198" s="140">
        <v>7.1</v>
      </c>
      <c r="AK198" s="89">
        <f t="shared" si="15"/>
        <v>4.5999999999999996</v>
      </c>
      <c r="AM198">
        <v>7.3</v>
      </c>
    </row>
    <row r="199" spans="1:39" ht="18" hidden="1" customHeight="1" x14ac:dyDescent="0.2">
      <c r="A199" s="193" t="s">
        <v>99</v>
      </c>
      <c r="B199" s="194" t="s">
        <v>1374</v>
      </c>
      <c r="C199" s="195" t="s">
        <v>1375</v>
      </c>
      <c r="D199" s="254">
        <f>D200</f>
        <v>0</v>
      </c>
      <c r="E199" s="254">
        <f>E200</f>
        <v>0</v>
      </c>
      <c r="F199" s="254">
        <f t="shared" si="13"/>
        <v>0</v>
      </c>
      <c r="G199" s="213"/>
      <c r="AJ199" s="140"/>
      <c r="AK199" s="89"/>
    </row>
    <row r="200" spans="1:39" ht="28.5" hidden="1" customHeight="1" x14ac:dyDescent="0.2">
      <c r="A200" s="110" t="s">
        <v>99</v>
      </c>
      <c r="B200" s="80" t="s">
        <v>1376</v>
      </c>
      <c r="C200" s="90" t="s">
        <v>1377</v>
      </c>
      <c r="D200" s="253">
        <f>D201</f>
        <v>0</v>
      </c>
      <c r="E200" s="253">
        <f>E201</f>
        <v>0</v>
      </c>
      <c r="F200" s="253">
        <f t="shared" si="13"/>
        <v>0</v>
      </c>
      <c r="G200" s="213"/>
      <c r="AJ200" s="140"/>
      <c r="AK200" s="89"/>
    </row>
    <row r="201" spans="1:39" ht="28.5" hidden="1" customHeight="1" x14ac:dyDescent="0.2">
      <c r="A201" s="466">
        <v>959</v>
      </c>
      <c r="B201" s="467" t="s">
        <v>1376</v>
      </c>
      <c r="C201" s="468" t="s">
        <v>1377</v>
      </c>
      <c r="D201" s="253"/>
      <c r="E201" s="253"/>
      <c r="F201" s="140">
        <f t="shared" si="13"/>
        <v>0</v>
      </c>
      <c r="G201" s="213"/>
      <c r="AJ201" s="140"/>
      <c r="AK201" s="89"/>
    </row>
    <row r="202" spans="1:39" s="141" customFormat="1" ht="15.75" hidden="1" customHeight="1" x14ac:dyDescent="0.2">
      <c r="A202" s="193" t="s">
        <v>99</v>
      </c>
      <c r="B202" s="194" t="s">
        <v>921</v>
      </c>
      <c r="C202" s="533" t="s">
        <v>1145</v>
      </c>
      <c r="D202" s="222">
        <f>D203</f>
        <v>0</v>
      </c>
      <c r="E202" s="222">
        <f>E203</f>
        <v>0</v>
      </c>
      <c r="F202" s="222">
        <f t="shared" si="13"/>
        <v>0</v>
      </c>
      <c r="G202" s="417"/>
      <c r="M202" s="367"/>
      <c r="AJ202" s="222">
        <f>AJ203</f>
        <v>5348.2</v>
      </c>
      <c r="AK202" s="89">
        <f t="shared" si="15"/>
        <v>-5348.2</v>
      </c>
    </row>
    <row r="203" spans="1:39" s="138" customFormat="1" ht="14.25" hidden="1" customHeight="1" x14ac:dyDescent="0.2">
      <c r="A203" s="110" t="s">
        <v>99</v>
      </c>
      <c r="B203" s="80" t="s">
        <v>922</v>
      </c>
      <c r="C203" s="530" t="s">
        <v>1144</v>
      </c>
      <c r="D203" s="140">
        <f>SUM(D204:D207)</f>
        <v>0</v>
      </c>
      <c r="E203" s="140">
        <f>SUM(E204:E207)</f>
        <v>0</v>
      </c>
      <c r="F203" s="140">
        <f t="shared" si="13"/>
        <v>0</v>
      </c>
      <c r="G203" s="213"/>
      <c r="H203" s="141"/>
      <c r="I203" s="141"/>
      <c r="J203" s="141"/>
      <c r="K203" s="141"/>
      <c r="L203" s="141"/>
      <c r="M203" s="367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0">
        <f>SUM(AJ204:AJ207)</f>
        <v>5348.2</v>
      </c>
      <c r="AK203" s="89">
        <f t="shared" si="15"/>
        <v>-5348.2</v>
      </c>
    </row>
    <row r="204" spans="1:39" s="138" customFormat="1" ht="71.25" hidden="1" customHeight="1" x14ac:dyDescent="0.2">
      <c r="A204" s="139">
        <v>958</v>
      </c>
      <c r="B204" s="80" t="s">
        <v>922</v>
      </c>
      <c r="C204" s="530" t="s">
        <v>1143</v>
      </c>
      <c r="D204" s="633">
        <v>0</v>
      </c>
      <c r="E204" s="633">
        <v>0</v>
      </c>
      <c r="F204" s="140">
        <f t="shared" si="13"/>
        <v>0</v>
      </c>
      <c r="G204" s="213">
        <v>-344.1</v>
      </c>
      <c r="H204" s="141"/>
      <c r="I204" s="141"/>
      <c r="J204" s="141"/>
      <c r="K204" s="141"/>
      <c r="L204" s="141"/>
      <c r="M204" s="367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223">
        <v>2389</v>
      </c>
      <c r="AK204" s="89">
        <f t="shared" si="15"/>
        <v>-2389</v>
      </c>
    </row>
    <row r="205" spans="1:39" s="138" customFormat="1" ht="23.25" hidden="1" customHeight="1" x14ac:dyDescent="0.2">
      <c r="A205" s="139">
        <v>958</v>
      </c>
      <c r="B205" s="80" t="s">
        <v>922</v>
      </c>
      <c r="C205" s="530" t="s">
        <v>728</v>
      </c>
      <c r="D205" s="634">
        <v>0</v>
      </c>
      <c r="E205" s="634">
        <v>0</v>
      </c>
      <c r="F205" s="140">
        <f t="shared" si="13"/>
        <v>0</v>
      </c>
      <c r="G205" s="213"/>
      <c r="H205" s="141"/>
      <c r="I205" s="141"/>
      <c r="J205" s="141"/>
      <c r="K205" s="141"/>
      <c r="L205" s="141"/>
      <c r="M205" s="367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0">
        <v>2915.5</v>
      </c>
      <c r="AK205" s="89">
        <f t="shared" si="15"/>
        <v>-2915.5</v>
      </c>
    </row>
    <row r="206" spans="1:39" s="138" customFormat="1" ht="26.25" hidden="1" customHeight="1" x14ac:dyDescent="0.2">
      <c r="A206" s="139">
        <v>958</v>
      </c>
      <c r="B206" s="80" t="s">
        <v>922</v>
      </c>
      <c r="C206" s="530" t="s">
        <v>571</v>
      </c>
      <c r="D206" s="634">
        <v>0</v>
      </c>
      <c r="E206" s="634">
        <v>0</v>
      </c>
      <c r="F206" s="140">
        <f t="shared" si="13"/>
        <v>0</v>
      </c>
      <c r="G206" s="213"/>
      <c r="H206" s="141"/>
      <c r="I206" s="141"/>
      <c r="J206" s="141"/>
      <c r="K206" s="141"/>
      <c r="L206" s="141"/>
      <c r="M206" s="367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0">
        <v>43.7</v>
      </c>
      <c r="AK206" s="89">
        <f t="shared" si="15"/>
        <v>-43.7</v>
      </c>
    </row>
    <row r="207" spans="1:39" s="138" customFormat="1" ht="38.25" hidden="1" customHeight="1" x14ac:dyDescent="0.2">
      <c r="A207" s="139"/>
      <c r="B207" s="80"/>
      <c r="C207" s="215" t="s">
        <v>1422</v>
      </c>
      <c r="D207" s="140"/>
      <c r="E207" s="140"/>
      <c r="F207" s="140">
        <f t="shared" si="13"/>
        <v>0</v>
      </c>
      <c r="G207" s="213"/>
      <c r="H207" s="141"/>
      <c r="I207" s="141"/>
      <c r="J207" s="141"/>
      <c r="K207" s="141"/>
      <c r="L207" s="141"/>
      <c r="M207" s="367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0"/>
      <c r="AK207" s="89">
        <f t="shared" si="15"/>
        <v>0</v>
      </c>
    </row>
    <row r="208" spans="1:39" ht="15" x14ac:dyDescent="0.2">
      <c r="A208" s="85" t="s">
        <v>99</v>
      </c>
      <c r="B208" s="192" t="s">
        <v>923</v>
      </c>
      <c r="C208" s="532" t="s">
        <v>164</v>
      </c>
      <c r="D208" s="221">
        <f>D211+D247+D236+D218+D227+D224+D230+D233+D221</f>
        <v>65177.4257</v>
      </c>
      <c r="E208" s="221">
        <f>E211+E247+E236+E218+E227+E224+E230+E233+E221</f>
        <v>306538.45968000003</v>
      </c>
      <c r="F208" s="221">
        <f t="shared" si="13"/>
        <v>241361.03398000004</v>
      </c>
      <c r="G208" s="416">
        <f>D208-D211</f>
        <v>58729</v>
      </c>
      <c r="H208" s="239">
        <f>E208-E211</f>
        <v>299205.03398000001</v>
      </c>
      <c r="M208" s="367">
        <v>306538.45967999997</v>
      </c>
      <c r="N208" s="414">
        <f>M208-E208</f>
        <v>0</v>
      </c>
      <c r="AJ208" s="221" t="e">
        <f>AJ211+AJ247+AJ236+AJ218+AJ227+AJ224</f>
        <v>#REF!</v>
      </c>
      <c r="AK208" s="89" t="e">
        <f t="shared" si="15"/>
        <v>#REF!</v>
      </c>
    </row>
    <row r="209" spans="1:37" ht="36" hidden="1" x14ac:dyDescent="0.2">
      <c r="A209" s="87" t="s">
        <v>98</v>
      </c>
      <c r="B209" s="82" t="s">
        <v>214</v>
      </c>
      <c r="C209" s="92" t="s">
        <v>254</v>
      </c>
      <c r="D209" s="140"/>
      <c r="E209" s="140"/>
      <c r="F209" s="140">
        <f t="shared" si="13"/>
        <v>0</v>
      </c>
      <c r="G209" s="213"/>
      <c r="AJ209" s="140"/>
      <c r="AK209" s="89">
        <f t="shared" si="15"/>
        <v>0</v>
      </c>
    </row>
    <row r="210" spans="1:37" ht="36" hidden="1" x14ac:dyDescent="0.2">
      <c r="A210" s="87" t="s">
        <v>182</v>
      </c>
      <c r="B210" s="82" t="s">
        <v>214</v>
      </c>
      <c r="C210" s="92" t="s">
        <v>254</v>
      </c>
      <c r="D210" s="140"/>
      <c r="E210" s="140"/>
      <c r="F210" s="140">
        <f t="shared" si="13"/>
        <v>0</v>
      </c>
      <c r="G210" s="213"/>
      <c r="AJ210" s="140"/>
      <c r="AK210" s="89">
        <f t="shared" si="15"/>
        <v>0</v>
      </c>
    </row>
    <row r="211" spans="1:37" ht="37.5" hidden="1" customHeight="1" x14ac:dyDescent="0.2">
      <c r="A211" s="193" t="s">
        <v>99</v>
      </c>
      <c r="B211" s="194" t="s">
        <v>924</v>
      </c>
      <c r="C211" s="277" t="s">
        <v>1142</v>
      </c>
      <c r="D211" s="222">
        <f>D212</f>
        <v>6448.4256999999998</v>
      </c>
      <c r="E211" s="222">
        <f>E212</f>
        <v>7333.4256999999998</v>
      </c>
      <c r="F211" s="222">
        <f t="shared" si="13"/>
        <v>885</v>
      </c>
      <c r="G211" s="417"/>
      <c r="M211" s="367">
        <v>6448.4256999999998</v>
      </c>
      <c r="AJ211" s="222">
        <f>AJ212</f>
        <v>5659.2870000000003</v>
      </c>
      <c r="AK211" s="89">
        <f t="shared" si="15"/>
        <v>789.13869999999952</v>
      </c>
    </row>
    <row r="212" spans="1:37" ht="34.5" customHeight="1" x14ac:dyDescent="0.2">
      <c r="A212" s="134" t="s">
        <v>99</v>
      </c>
      <c r="B212" s="80" t="s">
        <v>925</v>
      </c>
      <c r="C212" s="276" t="s">
        <v>181</v>
      </c>
      <c r="D212" s="223">
        <f>D213+D214+D215+D216+D217</f>
        <v>6448.4256999999998</v>
      </c>
      <c r="E212" s="223">
        <f>E213+E214+E215+E216+E217</f>
        <v>7333.4256999999998</v>
      </c>
      <c r="F212" s="223">
        <f t="shared" si="13"/>
        <v>885</v>
      </c>
      <c r="G212" s="214"/>
      <c r="H212" s="422"/>
      <c r="AJ212" s="223">
        <f>AJ213+AJ214+AJ215+AJ216+AJ217</f>
        <v>5659.2870000000003</v>
      </c>
      <c r="AK212" s="89">
        <f t="shared" si="15"/>
        <v>789.13869999999952</v>
      </c>
    </row>
    <row r="213" spans="1:37" ht="34.5" customHeight="1" x14ac:dyDescent="0.2">
      <c r="A213" s="87" t="s">
        <v>622</v>
      </c>
      <c r="B213" s="80" t="s">
        <v>925</v>
      </c>
      <c r="C213" s="276" t="s">
        <v>181</v>
      </c>
      <c r="D213" s="140">
        <v>550</v>
      </c>
      <c r="E213" s="140">
        <f>550+25</f>
        <v>575</v>
      </c>
      <c r="F213" s="140">
        <f t="shared" si="13"/>
        <v>25</v>
      </c>
      <c r="G213" s="213"/>
      <c r="H213" s="239"/>
      <c r="J213" s="239"/>
      <c r="AJ213" s="140">
        <v>402.5</v>
      </c>
      <c r="AK213" s="89">
        <f t="shared" si="15"/>
        <v>147.5</v>
      </c>
    </row>
    <row r="214" spans="1:37" ht="37.5" hidden="1" customHeight="1" x14ac:dyDescent="0.2">
      <c r="A214" s="134" t="s">
        <v>644</v>
      </c>
      <c r="B214" s="80" t="s">
        <v>925</v>
      </c>
      <c r="C214" s="92" t="s">
        <v>181</v>
      </c>
      <c r="D214" s="140"/>
      <c r="E214" s="140"/>
      <c r="F214" s="140">
        <f t="shared" si="13"/>
        <v>0</v>
      </c>
      <c r="G214" s="213"/>
      <c r="H214" s="239"/>
      <c r="AJ214" s="140"/>
      <c r="AK214" s="89">
        <f t="shared" si="15"/>
        <v>0</v>
      </c>
    </row>
    <row r="215" spans="1:37" ht="34.5" customHeight="1" x14ac:dyDescent="0.2">
      <c r="A215" s="134" t="s">
        <v>7</v>
      </c>
      <c r="B215" s="80" t="s">
        <v>925</v>
      </c>
      <c r="C215" s="276" t="s">
        <v>181</v>
      </c>
      <c r="D215" s="140">
        <f>761.6+64.8257</f>
        <v>826.42570000000001</v>
      </c>
      <c r="E215" s="140">
        <f>761.6+64.8257</f>
        <v>826.42570000000001</v>
      </c>
      <c r="F215" s="140">
        <f t="shared" si="13"/>
        <v>0</v>
      </c>
      <c r="G215" s="213"/>
      <c r="AJ215" s="140">
        <v>918.78700000000003</v>
      </c>
      <c r="AK215" s="89">
        <f t="shared" si="15"/>
        <v>-92.361300000000028</v>
      </c>
    </row>
    <row r="216" spans="1:37" ht="34.5" customHeight="1" x14ac:dyDescent="0.2">
      <c r="A216" s="87" t="s">
        <v>182</v>
      </c>
      <c r="B216" s="80" t="s">
        <v>925</v>
      </c>
      <c r="C216" s="276" t="s">
        <v>181</v>
      </c>
      <c r="D216" s="140">
        <v>4946</v>
      </c>
      <c r="E216" s="140">
        <f>4946+100+760</f>
        <v>5806</v>
      </c>
      <c r="F216" s="140">
        <f t="shared" si="13"/>
        <v>860</v>
      </c>
      <c r="G216" s="213"/>
      <c r="H216" s="414"/>
      <c r="AJ216" s="140">
        <v>4200</v>
      </c>
      <c r="AK216" s="89">
        <f t="shared" si="15"/>
        <v>746</v>
      </c>
    </row>
    <row r="217" spans="1:37" ht="34.5" customHeight="1" x14ac:dyDescent="0.2">
      <c r="A217" s="134" t="s">
        <v>644</v>
      </c>
      <c r="B217" s="80" t="s">
        <v>925</v>
      </c>
      <c r="C217" s="276" t="s">
        <v>181</v>
      </c>
      <c r="D217" s="140">
        <v>126</v>
      </c>
      <c r="E217" s="140">
        <v>126</v>
      </c>
      <c r="F217" s="140">
        <f t="shared" si="13"/>
        <v>0</v>
      </c>
      <c r="G217" s="213"/>
      <c r="H217" s="414"/>
      <c r="AJ217" s="140">
        <f>132+6</f>
        <v>138</v>
      </c>
      <c r="AK217" s="89">
        <f t="shared" si="15"/>
        <v>-12</v>
      </c>
    </row>
    <row r="218" spans="1:37" ht="37.5" customHeight="1" x14ac:dyDescent="0.2">
      <c r="A218" s="193" t="s">
        <v>99</v>
      </c>
      <c r="B218" s="194" t="s">
        <v>1992</v>
      </c>
      <c r="C218" s="268" t="s">
        <v>1785</v>
      </c>
      <c r="D218" s="254">
        <f>D219</f>
        <v>0</v>
      </c>
      <c r="E218" s="254">
        <f>E219</f>
        <v>546.79999999999995</v>
      </c>
      <c r="F218" s="254">
        <f t="shared" si="13"/>
        <v>546.79999999999995</v>
      </c>
      <c r="G218" s="213"/>
      <c r="H218" s="414"/>
      <c r="AJ218" s="254" t="e">
        <f>AJ219</f>
        <v>#REF!</v>
      </c>
      <c r="AK218" s="89" t="e">
        <f t="shared" si="15"/>
        <v>#REF!</v>
      </c>
    </row>
    <row r="219" spans="1:37" ht="37.5" customHeight="1" x14ac:dyDescent="0.2">
      <c r="A219" s="251" t="s">
        <v>99</v>
      </c>
      <c r="B219" s="252" t="s">
        <v>1993</v>
      </c>
      <c r="C219" s="92" t="s">
        <v>1786</v>
      </c>
      <c r="D219" s="253">
        <f>D220</f>
        <v>0</v>
      </c>
      <c r="E219" s="253">
        <f t="shared" ref="E219:F219" si="16">E220</f>
        <v>546.79999999999995</v>
      </c>
      <c r="F219" s="253">
        <f t="shared" si="16"/>
        <v>546.79999999999995</v>
      </c>
      <c r="G219" s="213"/>
      <c r="H219" s="414"/>
      <c r="AJ219" s="253" t="e">
        <f>AJ220+#REF!</f>
        <v>#REF!</v>
      </c>
      <c r="AK219" s="89" t="e">
        <f t="shared" si="15"/>
        <v>#REF!</v>
      </c>
    </row>
    <row r="220" spans="1:37" ht="37.5" customHeight="1" x14ac:dyDescent="0.2">
      <c r="A220" s="134" t="s">
        <v>180</v>
      </c>
      <c r="B220" s="252" t="s">
        <v>1993</v>
      </c>
      <c r="C220" s="92" t="s">
        <v>1786</v>
      </c>
      <c r="D220" s="253"/>
      <c r="E220" s="253">
        <v>546.79999999999995</v>
      </c>
      <c r="F220" s="140">
        <f t="shared" si="13"/>
        <v>546.79999999999995</v>
      </c>
      <c r="G220" s="213"/>
      <c r="H220" s="414"/>
      <c r="AJ220" s="253"/>
      <c r="AK220" s="89">
        <f t="shared" si="15"/>
        <v>0</v>
      </c>
    </row>
    <row r="221" spans="1:37" ht="37.5" customHeight="1" x14ac:dyDescent="0.2">
      <c r="A221" s="193" t="s">
        <v>99</v>
      </c>
      <c r="B221" s="194" t="s">
        <v>1783</v>
      </c>
      <c r="C221" s="268" t="s">
        <v>1785</v>
      </c>
      <c r="D221" s="285">
        <f t="shared" ref="D221:F222" si="17">D222</f>
        <v>4090.2</v>
      </c>
      <c r="E221" s="285">
        <f t="shared" si="17"/>
        <v>4090.2</v>
      </c>
      <c r="F221" s="285">
        <f t="shared" si="17"/>
        <v>0</v>
      </c>
      <c r="G221" s="213"/>
      <c r="H221" s="414"/>
      <c r="AJ221" s="253"/>
      <c r="AK221" s="89"/>
    </row>
    <row r="222" spans="1:37" ht="46.5" customHeight="1" x14ac:dyDescent="0.2">
      <c r="A222" s="134" t="s">
        <v>99</v>
      </c>
      <c r="B222" s="252" t="s">
        <v>1784</v>
      </c>
      <c r="C222" s="92" t="s">
        <v>1786</v>
      </c>
      <c r="D222" s="253">
        <f t="shared" si="17"/>
        <v>4090.2</v>
      </c>
      <c r="E222" s="253">
        <f t="shared" si="17"/>
        <v>4090.2</v>
      </c>
      <c r="F222" s="253">
        <f t="shared" si="17"/>
        <v>0</v>
      </c>
      <c r="G222" s="213"/>
      <c r="H222" s="414"/>
      <c r="AJ222" s="253"/>
      <c r="AK222" s="89"/>
    </row>
    <row r="223" spans="1:37" ht="47.25" customHeight="1" x14ac:dyDescent="0.2">
      <c r="A223" s="134" t="s">
        <v>180</v>
      </c>
      <c r="B223" s="252" t="s">
        <v>1784</v>
      </c>
      <c r="C223" s="92" t="s">
        <v>1786</v>
      </c>
      <c r="D223" s="664">
        <v>4090.2</v>
      </c>
      <c r="E223" s="664">
        <v>4090.2</v>
      </c>
      <c r="F223" s="140">
        <f t="shared" si="13"/>
        <v>0</v>
      </c>
      <c r="G223" s="213"/>
      <c r="H223" s="414"/>
      <c r="AJ223" s="253"/>
      <c r="AK223" s="89"/>
    </row>
    <row r="224" spans="1:37" ht="37.5" customHeight="1" x14ac:dyDescent="0.2">
      <c r="A224" s="193" t="s">
        <v>99</v>
      </c>
      <c r="B224" s="194" t="s">
        <v>1215</v>
      </c>
      <c r="C224" s="268" t="s">
        <v>1675</v>
      </c>
      <c r="D224" s="285">
        <f>D225</f>
        <v>38448.400000000001</v>
      </c>
      <c r="E224" s="285">
        <f>E225</f>
        <v>60579.5</v>
      </c>
      <c r="F224" s="285">
        <f t="shared" si="13"/>
        <v>22131.1</v>
      </c>
      <c r="G224" s="213"/>
      <c r="H224" s="414"/>
      <c r="AJ224" s="285">
        <f>AJ225</f>
        <v>34450.9</v>
      </c>
      <c r="AK224" s="89">
        <f t="shared" si="15"/>
        <v>3997.5</v>
      </c>
    </row>
    <row r="225" spans="1:37" ht="39" customHeight="1" x14ac:dyDescent="0.2">
      <c r="A225" s="134" t="s">
        <v>99</v>
      </c>
      <c r="B225" s="252" t="s">
        <v>1216</v>
      </c>
      <c r="C225" s="92" t="s">
        <v>1217</v>
      </c>
      <c r="D225" s="253">
        <f>D226</f>
        <v>38448.400000000001</v>
      </c>
      <c r="E225" s="253">
        <f>E226</f>
        <v>60579.5</v>
      </c>
      <c r="F225" s="253">
        <f t="shared" si="13"/>
        <v>22131.1</v>
      </c>
      <c r="G225" s="213"/>
      <c r="H225" s="414"/>
      <c r="AJ225" s="253">
        <f>AJ226</f>
        <v>34450.9</v>
      </c>
      <c r="AK225" s="89">
        <f t="shared" si="15"/>
        <v>3997.5</v>
      </c>
    </row>
    <row r="226" spans="1:37" ht="35.25" customHeight="1" x14ac:dyDescent="0.2">
      <c r="A226" s="134" t="s">
        <v>180</v>
      </c>
      <c r="B226" s="252" t="s">
        <v>1216</v>
      </c>
      <c r="C226" s="92" t="s">
        <v>1218</v>
      </c>
      <c r="D226" s="664">
        <v>38448.400000000001</v>
      </c>
      <c r="E226" s="664">
        <v>60579.5</v>
      </c>
      <c r="F226" s="140">
        <f t="shared" si="13"/>
        <v>22131.1</v>
      </c>
      <c r="G226" s="213"/>
      <c r="H226" s="414"/>
      <c r="AJ226" s="253">
        <v>34450.9</v>
      </c>
      <c r="AK226" s="89">
        <f t="shared" si="15"/>
        <v>3997.5</v>
      </c>
    </row>
    <row r="227" spans="1:37" ht="37.5" hidden="1" customHeight="1" x14ac:dyDescent="0.2">
      <c r="A227" s="193" t="s">
        <v>99</v>
      </c>
      <c r="B227" s="194" t="s">
        <v>1183</v>
      </c>
      <c r="C227" s="268" t="s">
        <v>1184</v>
      </c>
      <c r="D227" s="285">
        <f t="shared" ref="D227:E234" si="18">D228</f>
        <v>0</v>
      </c>
      <c r="E227" s="285">
        <f t="shared" si="18"/>
        <v>0</v>
      </c>
      <c r="F227" s="285">
        <f t="shared" si="13"/>
        <v>0</v>
      </c>
      <c r="G227" s="213"/>
      <c r="H227" s="414"/>
      <c r="AJ227" s="285">
        <f>AJ228</f>
        <v>0</v>
      </c>
      <c r="AK227" s="89">
        <f t="shared" si="15"/>
        <v>0</v>
      </c>
    </row>
    <row r="228" spans="1:37" ht="37.5" hidden="1" customHeight="1" x14ac:dyDescent="0.2">
      <c r="A228" s="134" t="s">
        <v>99</v>
      </c>
      <c r="B228" s="252" t="s">
        <v>1185</v>
      </c>
      <c r="C228" s="92" t="s">
        <v>1186</v>
      </c>
      <c r="D228" s="253">
        <f t="shared" si="18"/>
        <v>0</v>
      </c>
      <c r="E228" s="253">
        <f t="shared" si="18"/>
        <v>0</v>
      </c>
      <c r="F228" s="253">
        <f t="shared" si="13"/>
        <v>0</v>
      </c>
      <c r="G228" s="213"/>
      <c r="H228" s="414"/>
      <c r="AJ228" s="253">
        <f>AJ229</f>
        <v>0</v>
      </c>
      <c r="AK228" s="89">
        <f t="shared" si="15"/>
        <v>0</v>
      </c>
    </row>
    <row r="229" spans="1:37" ht="37.5" hidden="1" customHeight="1" x14ac:dyDescent="0.2">
      <c r="A229" s="134" t="s">
        <v>98</v>
      </c>
      <c r="B229" s="252" t="s">
        <v>1185</v>
      </c>
      <c r="C229" s="92" t="s">
        <v>1186</v>
      </c>
      <c r="D229" s="664">
        <v>0</v>
      </c>
      <c r="E229" s="664">
        <v>0</v>
      </c>
      <c r="F229" s="140">
        <f t="shared" si="13"/>
        <v>0</v>
      </c>
      <c r="G229" s="213"/>
      <c r="H229" s="414"/>
      <c r="AJ229" s="253"/>
      <c r="AK229" s="89">
        <f t="shared" si="15"/>
        <v>0</v>
      </c>
    </row>
    <row r="230" spans="1:37" ht="37.5" hidden="1" customHeight="1" x14ac:dyDescent="0.2">
      <c r="A230" s="193" t="s">
        <v>99</v>
      </c>
      <c r="B230" s="194" t="s">
        <v>1361</v>
      </c>
      <c r="C230" s="195" t="s">
        <v>1362</v>
      </c>
      <c r="D230" s="285">
        <f t="shared" si="18"/>
        <v>0</v>
      </c>
      <c r="E230" s="285">
        <f t="shared" si="18"/>
        <v>0</v>
      </c>
      <c r="F230" s="285">
        <f t="shared" si="13"/>
        <v>0</v>
      </c>
      <c r="G230" s="213"/>
      <c r="H230" s="414"/>
      <c r="AJ230" s="253"/>
      <c r="AK230" s="89"/>
    </row>
    <row r="231" spans="1:37" ht="37.5" hidden="1" customHeight="1" x14ac:dyDescent="0.2">
      <c r="A231" s="251" t="s">
        <v>99</v>
      </c>
      <c r="B231" s="252" t="s">
        <v>1363</v>
      </c>
      <c r="C231" s="91" t="s">
        <v>1364</v>
      </c>
      <c r="D231" s="253">
        <f t="shared" si="18"/>
        <v>0</v>
      </c>
      <c r="E231" s="253">
        <f t="shared" si="18"/>
        <v>0</v>
      </c>
      <c r="F231" s="253">
        <f t="shared" si="13"/>
        <v>0</v>
      </c>
      <c r="G231" s="213"/>
      <c r="H231" s="414"/>
      <c r="AJ231" s="253"/>
      <c r="AK231" s="89"/>
    </row>
    <row r="232" spans="1:37" ht="37.5" hidden="1" customHeight="1" x14ac:dyDescent="0.2">
      <c r="A232" s="441" t="s">
        <v>7</v>
      </c>
      <c r="B232" s="442" t="s">
        <v>1363</v>
      </c>
      <c r="C232" s="91" t="s">
        <v>1364</v>
      </c>
      <c r="D232" s="253"/>
      <c r="E232" s="253"/>
      <c r="F232" s="140">
        <f t="shared" si="13"/>
        <v>0</v>
      </c>
      <c r="G232" s="213"/>
      <c r="H232" s="414"/>
      <c r="AJ232" s="253"/>
      <c r="AK232" s="89"/>
    </row>
    <row r="233" spans="1:37" ht="37.5" hidden="1" customHeight="1" x14ac:dyDescent="0.2">
      <c r="A233" s="193" t="s">
        <v>99</v>
      </c>
      <c r="B233" s="194" t="s">
        <v>1365</v>
      </c>
      <c r="C233" s="195" t="s">
        <v>1366</v>
      </c>
      <c r="D233" s="285">
        <f t="shared" si="18"/>
        <v>0</v>
      </c>
      <c r="E233" s="285">
        <f t="shared" si="18"/>
        <v>0</v>
      </c>
      <c r="F233" s="285">
        <f t="shared" si="13"/>
        <v>0</v>
      </c>
      <c r="G233" s="213"/>
      <c r="H233" s="414"/>
      <c r="AJ233" s="253"/>
      <c r="AK233" s="89"/>
    </row>
    <row r="234" spans="1:37" ht="37.5" hidden="1" customHeight="1" x14ac:dyDescent="0.2">
      <c r="A234" s="251" t="s">
        <v>99</v>
      </c>
      <c r="B234" s="252" t="s">
        <v>1367</v>
      </c>
      <c r="C234" s="91" t="s">
        <v>1368</v>
      </c>
      <c r="D234" s="253">
        <f t="shared" si="18"/>
        <v>0</v>
      </c>
      <c r="E234" s="253">
        <f t="shared" si="18"/>
        <v>0</v>
      </c>
      <c r="F234" s="253">
        <f t="shared" ref="F234:F253" si="19">E234-D234</f>
        <v>0</v>
      </c>
      <c r="G234" s="213"/>
      <c r="H234" s="414"/>
      <c r="AJ234" s="253"/>
      <c r="AK234" s="89"/>
    </row>
    <row r="235" spans="1:37" ht="37.5" hidden="1" customHeight="1" x14ac:dyDescent="0.2">
      <c r="A235" s="441" t="s">
        <v>7</v>
      </c>
      <c r="B235" s="442" t="s">
        <v>1367</v>
      </c>
      <c r="C235" s="91" t="s">
        <v>1368</v>
      </c>
      <c r="D235" s="253"/>
      <c r="E235" s="253"/>
      <c r="F235" s="140">
        <f t="shared" si="19"/>
        <v>0</v>
      </c>
      <c r="G235" s="213"/>
      <c r="H235" s="414"/>
      <c r="AJ235" s="253"/>
      <c r="AK235" s="89"/>
    </row>
    <row r="236" spans="1:37" ht="37.5" hidden="1" customHeight="1" x14ac:dyDescent="0.2">
      <c r="A236" s="193" t="s">
        <v>99</v>
      </c>
      <c r="B236" s="194" t="s">
        <v>1017</v>
      </c>
      <c r="C236" s="268" t="s">
        <v>1018</v>
      </c>
      <c r="D236" s="285">
        <f>D237</f>
        <v>0</v>
      </c>
      <c r="E236" s="285">
        <f>E237</f>
        <v>0</v>
      </c>
      <c r="F236" s="285">
        <f t="shared" si="19"/>
        <v>0</v>
      </c>
      <c r="G236" s="213"/>
      <c r="H236" s="414"/>
      <c r="AJ236" s="285">
        <f>AJ237</f>
        <v>0</v>
      </c>
      <c r="AK236" s="89">
        <f t="shared" si="15"/>
        <v>0</v>
      </c>
    </row>
    <row r="237" spans="1:37" ht="37.5" hidden="1" customHeight="1" x14ac:dyDescent="0.2">
      <c r="A237" s="87" t="s">
        <v>99</v>
      </c>
      <c r="B237" s="80" t="s">
        <v>1019</v>
      </c>
      <c r="C237" s="92" t="s">
        <v>1020</v>
      </c>
      <c r="D237" s="140">
        <f>D238+D240</f>
        <v>0</v>
      </c>
      <c r="E237" s="140">
        <f>E238+E240</f>
        <v>0</v>
      </c>
      <c r="F237" s="140">
        <f>F238+F240</f>
        <v>0</v>
      </c>
      <c r="G237" s="213"/>
      <c r="H237" s="414"/>
      <c r="AJ237" s="140">
        <f>AJ238+AJ242</f>
        <v>0</v>
      </c>
      <c r="AK237" s="89">
        <f t="shared" si="15"/>
        <v>0</v>
      </c>
    </row>
    <row r="238" spans="1:37" ht="37.5" hidden="1" customHeight="1" x14ac:dyDescent="0.2">
      <c r="A238" s="134" t="s">
        <v>98</v>
      </c>
      <c r="B238" s="80" t="s">
        <v>1019</v>
      </c>
      <c r="C238" s="92" t="s">
        <v>1020</v>
      </c>
      <c r="D238" s="140">
        <f>D239</f>
        <v>0</v>
      </c>
      <c r="E238" s="140">
        <f>E239</f>
        <v>0</v>
      </c>
      <c r="F238" s="140">
        <f>F239</f>
        <v>0</v>
      </c>
      <c r="G238" s="213"/>
      <c r="H238" s="414"/>
      <c r="AJ238" s="140">
        <f>AJ239+AJ241</f>
        <v>0</v>
      </c>
      <c r="AK238" s="89">
        <f t="shared" si="15"/>
        <v>0</v>
      </c>
    </row>
    <row r="239" spans="1:37" ht="15" hidden="1" customHeight="1" x14ac:dyDescent="0.2">
      <c r="A239" s="134"/>
      <c r="B239" s="80"/>
      <c r="C239" s="271" t="s">
        <v>1523</v>
      </c>
      <c r="D239" s="249"/>
      <c r="E239" s="249"/>
      <c r="F239" s="249">
        <f t="shared" si="19"/>
        <v>0</v>
      </c>
      <c r="G239" s="213"/>
      <c r="H239" s="414"/>
      <c r="AJ239" s="249"/>
      <c r="AK239" s="89">
        <f t="shared" si="15"/>
        <v>0</v>
      </c>
    </row>
    <row r="240" spans="1:37" ht="37.5" hidden="1" customHeight="1" x14ac:dyDescent="0.2">
      <c r="A240" s="134" t="s">
        <v>204</v>
      </c>
      <c r="B240" s="80" t="s">
        <v>1019</v>
      </c>
      <c r="C240" s="92" t="s">
        <v>1020</v>
      </c>
      <c r="D240" s="140">
        <f>D241+D243</f>
        <v>0</v>
      </c>
      <c r="E240" s="140">
        <f>E241+E243</f>
        <v>0</v>
      </c>
      <c r="F240" s="140">
        <f>E240-D240</f>
        <v>0</v>
      </c>
      <c r="G240" s="213"/>
      <c r="H240" s="414"/>
      <c r="AJ240" s="249"/>
      <c r="AK240" s="89"/>
    </row>
    <row r="241" spans="1:37" ht="15" hidden="1" customHeight="1" x14ac:dyDescent="0.2">
      <c r="A241" s="134"/>
      <c r="B241" s="80"/>
      <c r="C241" s="271" t="s">
        <v>1651</v>
      </c>
      <c r="D241" s="249"/>
      <c r="E241" s="249"/>
      <c r="F241" s="249">
        <f>E241-D241</f>
        <v>0</v>
      </c>
      <c r="G241" s="213"/>
      <c r="H241" s="414"/>
      <c r="AJ241" s="249"/>
      <c r="AK241" s="89">
        <f t="shared" si="15"/>
        <v>0</v>
      </c>
    </row>
    <row r="242" spans="1:37" ht="37.5" hidden="1" customHeight="1" x14ac:dyDescent="0.2">
      <c r="A242" s="134" t="s">
        <v>180</v>
      </c>
      <c r="B242" s="80" t="s">
        <v>1019</v>
      </c>
      <c r="C242" s="92" t="s">
        <v>1020</v>
      </c>
      <c r="D242" s="249">
        <f>SUM(D243:D246)</f>
        <v>0</v>
      </c>
      <c r="E242" s="249">
        <f>SUM(E243:E246)</f>
        <v>0</v>
      </c>
      <c r="F242" s="249">
        <f t="shared" si="19"/>
        <v>0</v>
      </c>
      <c r="G242" s="213"/>
      <c r="H242" s="414"/>
      <c r="AJ242" s="249">
        <f>SUM(AJ243:AJ246)</f>
        <v>0</v>
      </c>
      <c r="AK242" s="89">
        <f t="shared" si="15"/>
        <v>0</v>
      </c>
    </row>
    <row r="243" spans="1:37" ht="12.75" hidden="1" customHeight="1" x14ac:dyDescent="0.2">
      <c r="A243" s="134"/>
      <c r="B243" s="80"/>
      <c r="C243" s="272" t="s">
        <v>996</v>
      </c>
      <c r="D243" s="249"/>
      <c r="E243" s="249"/>
      <c r="F243" s="249">
        <f t="shared" si="19"/>
        <v>0</v>
      </c>
      <c r="G243" s="213"/>
      <c r="H243" s="414"/>
      <c r="AJ243" s="249"/>
      <c r="AK243" s="89">
        <f t="shared" si="15"/>
        <v>0</v>
      </c>
    </row>
    <row r="244" spans="1:37" ht="14.25" hidden="1" customHeight="1" x14ac:dyDescent="0.2">
      <c r="A244" s="134"/>
      <c r="B244" s="80"/>
      <c r="C244" s="273" t="s">
        <v>1037</v>
      </c>
      <c r="D244" s="249"/>
      <c r="E244" s="249"/>
      <c r="F244" s="249">
        <f t="shared" si="19"/>
        <v>0</v>
      </c>
      <c r="G244" s="213"/>
      <c r="H244" s="414"/>
      <c r="AJ244" s="249"/>
      <c r="AK244" s="89">
        <f t="shared" si="15"/>
        <v>0</v>
      </c>
    </row>
    <row r="245" spans="1:37" ht="12.75" hidden="1" customHeight="1" x14ac:dyDescent="0.2">
      <c r="A245" s="87"/>
      <c r="B245" s="80"/>
      <c r="C245" s="272" t="s">
        <v>997</v>
      </c>
      <c r="D245" s="249"/>
      <c r="E245" s="249"/>
      <c r="F245" s="249">
        <f t="shared" si="19"/>
        <v>0</v>
      </c>
      <c r="G245" s="213"/>
      <c r="H245" s="414"/>
      <c r="AJ245" s="249"/>
      <c r="AK245" s="89">
        <f t="shared" si="15"/>
        <v>0</v>
      </c>
    </row>
    <row r="246" spans="1:37" ht="12.75" hidden="1" customHeight="1" x14ac:dyDescent="0.2">
      <c r="A246" s="87"/>
      <c r="B246" s="80"/>
      <c r="C246" s="272" t="s">
        <v>998</v>
      </c>
      <c r="D246" s="249"/>
      <c r="E246" s="249"/>
      <c r="F246" s="249">
        <f t="shared" si="19"/>
        <v>0</v>
      </c>
      <c r="G246" s="213"/>
      <c r="H246" s="414"/>
      <c r="AJ246" s="249"/>
      <c r="AK246" s="89">
        <f t="shared" si="15"/>
        <v>0</v>
      </c>
    </row>
    <row r="247" spans="1:37" ht="17.25" customHeight="1" x14ac:dyDescent="0.2">
      <c r="A247" s="193" t="s">
        <v>99</v>
      </c>
      <c r="B247" s="194" t="s">
        <v>926</v>
      </c>
      <c r="C247" s="533" t="s">
        <v>669</v>
      </c>
      <c r="D247" s="222">
        <f>D248</f>
        <v>16190.4</v>
      </c>
      <c r="E247" s="222">
        <f>E248</f>
        <v>233988.53398000001</v>
      </c>
      <c r="F247" s="222">
        <f t="shared" si="19"/>
        <v>217798.13398000001</v>
      </c>
      <c r="G247" s="417"/>
      <c r="AJ247" s="222" t="e">
        <f>AJ248</f>
        <v>#REF!</v>
      </c>
      <c r="AK247" s="89" t="e">
        <f t="shared" si="15"/>
        <v>#REF!</v>
      </c>
    </row>
    <row r="248" spans="1:37" ht="14.25" customHeight="1" x14ac:dyDescent="0.2">
      <c r="A248" s="134" t="s">
        <v>99</v>
      </c>
      <c r="B248" s="82" t="s">
        <v>927</v>
      </c>
      <c r="C248" s="536" t="s">
        <v>215</v>
      </c>
      <c r="D248" s="223">
        <f>D256+D251+D264+D249+D267</f>
        <v>16190.4</v>
      </c>
      <c r="E248" s="223">
        <f>E256+E251+E264+E249+E267</f>
        <v>233988.53398000001</v>
      </c>
      <c r="F248" s="223">
        <f t="shared" si="19"/>
        <v>217798.13398000001</v>
      </c>
      <c r="G248" s="214"/>
      <c r="AJ248" s="223" t="e">
        <f>AJ256+AJ251+AJ264+AJ249+AJ267</f>
        <v>#REF!</v>
      </c>
      <c r="AK248" s="89" t="e">
        <f t="shared" si="15"/>
        <v>#REF!</v>
      </c>
    </row>
    <row r="249" spans="1:37" ht="17.25" hidden="1" customHeight="1" x14ac:dyDescent="0.2">
      <c r="A249" s="110" t="s">
        <v>969</v>
      </c>
      <c r="B249" s="80" t="s">
        <v>927</v>
      </c>
      <c r="C249" s="92" t="s">
        <v>100</v>
      </c>
      <c r="D249" s="223">
        <f>SUM(D250:D250)</f>
        <v>0</v>
      </c>
      <c r="E249" s="223">
        <f>SUM(E250:E250)</f>
        <v>0</v>
      </c>
      <c r="F249" s="223">
        <f t="shared" si="19"/>
        <v>0</v>
      </c>
      <c r="G249" s="214"/>
      <c r="AJ249" s="223" t="e">
        <f>#REF!</f>
        <v>#REF!</v>
      </c>
      <c r="AK249" s="89" t="e">
        <f t="shared" si="15"/>
        <v>#REF!</v>
      </c>
    </row>
    <row r="250" spans="1:37" ht="48.75" hidden="1" customHeight="1" x14ac:dyDescent="0.2">
      <c r="A250" s="110"/>
      <c r="B250" s="80" t="s">
        <v>12</v>
      </c>
      <c r="C250" s="92" t="s">
        <v>1652</v>
      </c>
      <c r="D250" s="223"/>
      <c r="E250" s="223"/>
      <c r="F250" s="223">
        <f t="shared" si="19"/>
        <v>0</v>
      </c>
      <c r="G250" s="214"/>
      <c r="AJ250" s="223">
        <v>0</v>
      </c>
      <c r="AK250" s="89">
        <f t="shared" si="15"/>
        <v>0</v>
      </c>
    </row>
    <row r="251" spans="1:37" ht="13.5" customHeight="1" x14ac:dyDescent="0.2">
      <c r="A251" s="110" t="s">
        <v>180</v>
      </c>
      <c r="B251" s="80" t="s">
        <v>927</v>
      </c>
      <c r="C251" s="92" t="s">
        <v>100</v>
      </c>
      <c r="D251" s="224">
        <f>SUM(D252:D255)</f>
        <v>1357.4</v>
      </c>
      <c r="E251" s="224">
        <f>SUM(E252:E255)</f>
        <v>1269.2</v>
      </c>
      <c r="F251" s="224">
        <f t="shared" si="19"/>
        <v>-88.200000000000045</v>
      </c>
      <c r="G251" s="423"/>
      <c r="AJ251" s="224">
        <f>SUM(AJ252:AJ255)</f>
        <v>0</v>
      </c>
      <c r="AK251" s="89">
        <f t="shared" si="15"/>
        <v>1357.4</v>
      </c>
    </row>
    <row r="252" spans="1:37" ht="36.75" customHeight="1" x14ac:dyDescent="0.2">
      <c r="A252" s="85"/>
      <c r="B252" s="80" t="s">
        <v>12</v>
      </c>
      <c r="C252" s="92" t="s">
        <v>1931</v>
      </c>
      <c r="D252" s="224">
        <v>302.39999999999998</v>
      </c>
      <c r="E252" s="224">
        <v>214.2</v>
      </c>
      <c r="F252" s="223">
        <f t="shared" si="19"/>
        <v>-88.199999999999989</v>
      </c>
      <c r="G252" s="423"/>
      <c r="AJ252" s="224"/>
      <c r="AK252" s="89">
        <f t="shared" si="15"/>
        <v>302.39999999999998</v>
      </c>
    </row>
    <row r="253" spans="1:37" ht="21.75" customHeight="1" x14ac:dyDescent="0.2">
      <c r="A253" s="85"/>
      <c r="B253" s="80"/>
      <c r="C253" s="274" t="s">
        <v>1678</v>
      </c>
      <c r="D253" s="665">
        <v>1055</v>
      </c>
      <c r="E253" s="665">
        <v>1055</v>
      </c>
      <c r="F253" s="223">
        <f t="shared" si="19"/>
        <v>0</v>
      </c>
      <c r="G253" s="423"/>
      <c r="AJ253" s="224"/>
      <c r="AK253" s="89">
        <f t="shared" si="15"/>
        <v>1055</v>
      </c>
    </row>
    <row r="254" spans="1:37" ht="15.75" hidden="1" customHeight="1" x14ac:dyDescent="0.2">
      <c r="A254" s="85"/>
      <c r="B254" s="80"/>
      <c r="C254" s="92"/>
      <c r="D254" s="224"/>
      <c r="E254" s="224"/>
      <c r="F254" s="224"/>
      <c r="G254" s="423"/>
      <c r="AJ254" s="224"/>
      <c r="AK254" s="89">
        <f t="shared" si="15"/>
        <v>0</v>
      </c>
    </row>
    <row r="255" spans="1:37" ht="17.25" hidden="1" customHeight="1" x14ac:dyDescent="0.2">
      <c r="A255" s="85"/>
      <c r="B255" s="80"/>
      <c r="C255" s="92"/>
      <c r="D255" s="224"/>
      <c r="E255" s="224"/>
      <c r="F255" s="224"/>
      <c r="G255" s="423"/>
      <c r="AJ255" s="224"/>
      <c r="AK255" s="89">
        <f t="shared" si="15"/>
        <v>0</v>
      </c>
    </row>
    <row r="256" spans="1:37" ht="15" customHeight="1" x14ac:dyDescent="0.2">
      <c r="A256" s="85" t="s">
        <v>98</v>
      </c>
      <c r="B256" s="80" t="s">
        <v>927</v>
      </c>
      <c r="C256" s="92" t="s">
        <v>215</v>
      </c>
      <c r="D256" s="224">
        <f>SUM(D257:D263)</f>
        <v>12033</v>
      </c>
      <c r="E256" s="224">
        <f>SUM(E257:E263)</f>
        <v>16011</v>
      </c>
      <c r="F256" s="224">
        <f>SUM(F257:F263)</f>
        <v>3978</v>
      </c>
      <c r="G256" s="423"/>
      <c r="AJ256" s="224">
        <f>SUM(AJ257:AJ263)</f>
        <v>0</v>
      </c>
      <c r="AK256" s="89">
        <f t="shared" si="15"/>
        <v>12033</v>
      </c>
    </row>
    <row r="257" spans="1:37" ht="15" customHeight="1" x14ac:dyDescent="0.2">
      <c r="A257" s="85"/>
      <c r="B257" s="80" t="s">
        <v>12</v>
      </c>
      <c r="C257" s="92" t="s">
        <v>700</v>
      </c>
      <c r="D257" s="224">
        <v>6025</v>
      </c>
      <c r="E257" s="224">
        <v>6025</v>
      </c>
      <c r="F257" s="223">
        <f t="shared" ref="F257:F263" si="20">E257-D257</f>
        <v>0</v>
      </c>
      <c r="G257" s="423"/>
      <c r="AJ257" s="224"/>
      <c r="AK257" s="89">
        <f t="shared" si="15"/>
        <v>6025</v>
      </c>
    </row>
    <row r="258" spans="1:37" ht="25.5" customHeight="1" x14ac:dyDescent="0.2">
      <c r="A258" s="85"/>
      <c r="B258" s="80"/>
      <c r="C258" s="274" t="s">
        <v>1908</v>
      </c>
      <c r="D258" s="224">
        <v>6008</v>
      </c>
      <c r="E258" s="224">
        <v>6008</v>
      </c>
      <c r="F258" s="223">
        <f t="shared" si="20"/>
        <v>0</v>
      </c>
      <c r="G258" s="423"/>
      <c r="AJ258" s="224"/>
      <c r="AK258" s="89">
        <f t="shared" si="15"/>
        <v>6008</v>
      </c>
    </row>
    <row r="259" spans="1:37" ht="29.25" customHeight="1" x14ac:dyDescent="0.2">
      <c r="A259" s="85"/>
      <c r="B259" s="80"/>
      <c r="C259" s="274" t="s">
        <v>1994</v>
      </c>
      <c r="D259" s="224"/>
      <c r="E259" s="224">
        <v>1978</v>
      </c>
      <c r="F259" s="223">
        <f t="shared" si="20"/>
        <v>1978</v>
      </c>
      <c r="G259" s="423"/>
      <c r="AJ259" s="224"/>
      <c r="AK259" s="89">
        <f t="shared" si="15"/>
        <v>0</v>
      </c>
    </row>
    <row r="260" spans="1:37" ht="28.5" customHeight="1" x14ac:dyDescent="0.2">
      <c r="A260" s="85"/>
      <c r="B260" s="80"/>
      <c r="C260" s="274" t="s">
        <v>1995</v>
      </c>
      <c r="D260" s="224"/>
      <c r="E260" s="224">
        <v>2000</v>
      </c>
      <c r="F260" s="223">
        <f t="shared" si="20"/>
        <v>2000</v>
      </c>
      <c r="G260" s="423"/>
      <c r="AJ260" s="224"/>
      <c r="AK260" s="89">
        <f t="shared" si="15"/>
        <v>0</v>
      </c>
    </row>
    <row r="261" spans="1:37" ht="36" hidden="1" customHeight="1" x14ac:dyDescent="0.2">
      <c r="A261" s="85"/>
      <c r="B261" s="80"/>
      <c r="C261" s="92" t="s">
        <v>1840</v>
      </c>
      <c r="D261" s="224"/>
      <c r="E261" s="224"/>
      <c r="F261" s="223">
        <f t="shared" si="20"/>
        <v>0</v>
      </c>
      <c r="G261" s="423"/>
      <c r="AJ261" s="224"/>
      <c r="AK261" s="89">
        <f t="shared" si="15"/>
        <v>0</v>
      </c>
    </row>
    <row r="262" spans="1:37" ht="36" hidden="1" customHeight="1" x14ac:dyDescent="0.2">
      <c r="A262" s="85"/>
      <c r="B262" s="80"/>
      <c r="C262" s="92" t="s">
        <v>1219</v>
      </c>
      <c r="D262" s="224">
        <v>0</v>
      </c>
      <c r="E262" s="224">
        <v>0</v>
      </c>
      <c r="F262" s="223">
        <f t="shared" si="20"/>
        <v>0</v>
      </c>
      <c r="G262" s="423"/>
      <c r="AJ262" s="224">
        <v>0</v>
      </c>
      <c r="AK262" s="89">
        <f t="shared" si="15"/>
        <v>0</v>
      </c>
    </row>
    <row r="263" spans="1:37" ht="24" hidden="1" customHeight="1" x14ac:dyDescent="0.2">
      <c r="A263" s="85"/>
      <c r="B263" s="80"/>
      <c r="C263" s="92" t="s">
        <v>1227</v>
      </c>
      <c r="D263" s="224"/>
      <c r="E263" s="224"/>
      <c r="F263" s="223">
        <f t="shared" si="20"/>
        <v>0</v>
      </c>
      <c r="G263" s="423"/>
      <c r="AJ263" s="224"/>
      <c r="AK263" s="89">
        <f t="shared" ref="AK263:AK301" si="21">D263-AJ263</f>
        <v>0</v>
      </c>
    </row>
    <row r="264" spans="1:37" ht="15" customHeight="1" x14ac:dyDescent="0.2">
      <c r="A264" s="110" t="s">
        <v>182</v>
      </c>
      <c r="B264" s="80" t="s">
        <v>927</v>
      </c>
      <c r="C264" s="92" t="s">
        <v>100</v>
      </c>
      <c r="D264" s="224">
        <f>D265+D266</f>
        <v>0</v>
      </c>
      <c r="E264" s="224">
        <f>E265+E266</f>
        <v>133332.20000000001</v>
      </c>
      <c r="F264" s="224">
        <f>F265+F266</f>
        <v>133332.20000000001</v>
      </c>
      <c r="G264" s="423"/>
      <c r="AJ264" s="224">
        <f>AJ265+AJ266</f>
        <v>0</v>
      </c>
      <c r="AK264" s="89">
        <f t="shared" si="21"/>
        <v>0</v>
      </c>
    </row>
    <row r="265" spans="1:37" ht="17.25" hidden="1" customHeight="1" x14ac:dyDescent="0.2">
      <c r="A265" s="85"/>
      <c r="B265" s="80" t="s">
        <v>12</v>
      </c>
      <c r="C265" s="91" t="s">
        <v>1414</v>
      </c>
      <c r="D265" s="224"/>
      <c r="E265" s="224"/>
      <c r="F265" s="223">
        <f>E265-D265</f>
        <v>0</v>
      </c>
      <c r="G265" s="213"/>
      <c r="AJ265" s="224"/>
      <c r="AK265" s="89">
        <f t="shared" si="21"/>
        <v>0</v>
      </c>
    </row>
    <row r="266" spans="1:37" ht="25.5" customHeight="1" x14ac:dyDescent="0.2">
      <c r="A266" s="85"/>
      <c r="B266" s="80"/>
      <c r="C266" s="91" t="s">
        <v>1837</v>
      </c>
      <c r="D266" s="224"/>
      <c r="E266" s="224">
        <f>90890.4+42441.8</f>
        <v>133332.20000000001</v>
      </c>
      <c r="F266" s="223">
        <f>E266-D266</f>
        <v>133332.20000000001</v>
      </c>
      <c r="G266" s="213"/>
      <c r="AJ266" s="224"/>
      <c r="AK266" s="89">
        <f t="shared" si="21"/>
        <v>0</v>
      </c>
    </row>
    <row r="267" spans="1:37" ht="14.25" customHeight="1" x14ac:dyDescent="0.2">
      <c r="A267" s="110" t="s">
        <v>204</v>
      </c>
      <c r="B267" s="80" t="s">
        <v>927</v>
      </c>
      <c r="C267" s="530" t="s">
        <v>215</v>
      </c>
      <c r="D267" s="224">
        <f>SUM(D268:D272)</f>
        <v>2800</v>
      </c>
      <c r="E267" s="224">
        <f>SUM(E268:E272)</f>
        <v>83376.133979999999</v>
      </c>
      <c r="F267" s="224">
        <f>SUM(F268:F272)</f>
        <v>80576.133979999999</v>
      </c>
      <c r="G267" s="423"/>
      <c r="AJ267" s="224">
        <f>AJ268</f>
        <v>0</v>
      </c>
      <c r="AK267" s="89">
        <f t="shared" si="21"/>
        <v>2800</v>
      </c>
    </row>
    <row r="268" spans="1:37" ht="27.75" customHeight="1" x14ac:dyDescent="0.2">
      <c r="A268" s="85"/>
      <c r="B268" s="80" t="s">
        <v>12</v>
      </c>
      <c r="C268" s="530" t="s">
        <v>1996</v>
      </c>
      <c r="D268" s="224">
        <v>0</v>
      </c>
      <c r="E268" s="224">
        <v>2775.924</v>
      </c>
      <c r="F268" s="140">
        <f>E268-D268</f>
        <v>2775.924</v>
      </c>
      <c r="G268" s="213" t="s">
        <v>1416</v>
      </c>
      <c r="AJ268" s="224"/>
      <c r="AK268" s="89">
        <f t="shared" si="21"/>
        <v>0</v>
      </c>
    </row>
    <row r="269" spans="1:37" ht="21.75" customHeight="1" x14ac:dyDescent="0.2">
      <c r="A269" s="85"/>
      <c r="B269" s="80"/>
      <c r="C269" s="530" t="s">
        <v>1997</v>
      </c>
      <c r="D269" s="224">
        <v>0</v>
      </c>
      <c r="E269" s="224">
        <v>2383.2099800000001</v>
      </c>
      <c r="F269" s="140">
        <f>E269-D269</f>
        <v>2383.2099800000001</v>
      </c>
      <c r="G269" s="213" t="s">
        <v>1417</v>
      </c>
      <c r="AJ269" s="224"/>
      <c r="AK269" s="89"/>
    </row>
    <row r="270" spans="1:37" ht="38.25" customHeight="1" x14ac:dyDescent="0.2">
      <c r="A270" s="85"/>
      <c r="B270" s="80"/>
      <c r="C270" s="530" t="s">
        <v>1415</v>
      </c>
      <c r="D270" s="224">
        <v>2800</v>
      </c>
      <c r="E270" s="224">
        <v>2800</v>
      </c>
      <c r="F270" s="140">
        <f>E270-D270</f>
        <v>0</v>
      </c>
      <c r="G270" s="213"/>
      <c r="AJ270" s="224"/>
      <c r="AK270" s="89"/>
    </row>
    <row r="271" spans="1:37" ht="38.25" customHeight="1" x14ac:dyDescent="0.2">
      <c r="A271" s="85"/>
      <c r="B271" s="80"/>
      <c r="C271" s="530" t="s">
        <v>1998</v>
      </c>
      <c r="D271" s="224"/>
      <c r="E271" s="224">
        <v>75417</v>
      </c>
      <c r="F271" s="140">
        <f>E271-D271</f>
        <v>75417</v>
      </c>
      <c r="G271" s="213"/>
      <c r="AJ271" s="224"/>
      <c r="AK271" s="89"/>
    </row>
    <row r="272" spans="1:37" ht="27" hidden="1" customHeight="1" x14ac:dyDescent="0.2">
      <c r="A272" s="85"/>
      <c r="B272" s="80"/>
      <c r="C272" s="530" t="s">
        <v>1841</v>
      </c>
      <c r="D272" s="224"/>
      <c r="E272" s="224"/>
      <c r="F272" s="140">
        <f>E272-D272</f>
        <v>0</v>
      </c>
      <c r="G272" s="213"/>
      <c r="AJ272" s="224"/>
      <c r="AK272" s="89"/>
    </row>
    <row r="273" spans="1:37" ht="24" customHeight="1" x14ac:dyDescent="0.2">
      <c r="A273" s="200" t="s">
        <v>99</v>
      </c>
      <c r="B273" s="201" t="s">
        <v>986</v>
      </c>
      <c r="C273" s="275" t="s">
        <v>1116</v>
      </c>
      <c r="D273" s="225">
        <f>D274</f>
        <v>0</v>
      </c>
      <c r="E273" s="225">
        <f>E274</f>
        <v>550</v>
      </c>
      <c r="F273" s="225">
        <f>F274</f>
        <v>550</v>
      </c>
      <c r="G273" s="424"/>
      <c r="H273" s="414"/>
      <c r="M273" s="367">
        <v>550</v>
      </c>
      <c r="N273" s="414">
        <f>M273-E273</f>
        <v>0</v>
      </c>
      <c r="AJ273" s="225">
        <f>AJ274</f>
        <v>0</v>
      </c>
      <c r="AK273" s="89">
        <f t="shared" si="21"/>
        <v>0</v>
      </c>
    </row>
    <row r="274" spans="1:37" ht="24" customHeight="1" x14ac:dyDescent="0.2">
      <c r="A274" s="110" t="s">
        <v>99</v>
      </c>
      <c r="B274" s="80" t="s">
        <v>987</v>
      </c>
      <c r="C274" s="92" t="s">
        <v>988</v>
      </c>
      <c r="D274" s="140">
        <f>D277+D276+D275</f>
        <v>0</v>
      </c>
      <c r="E274" s="140">
        <f t="shared" ref="E274:F274" si="22">E277+E276+E275</f>
        <v>550</v>
      </c>
      <c r="F274" s="140">
        <f t="shared" si="22"/>
        <v>550</v>
      </c>
      <c r="G274" s="425"/>
      <c r="AJ274" s="140">
        <f>AJ277+AJ276</f>
        <v>0</v>
      </c>
      <c r="AK274" s="89">
        <f t="shared" si="21"/>
        <v>0</v>
      </c>
    </row>
    <row r="275" spans="1:37" ht="24" customHeight="1" x14ac:dyDescent="0.2">
      <c r="A275" s="110" t="s">
        <v>98</v>
      </c>
      <c r="B275" s="80" t="s">
        <v>961</v>
      </c>
      <c r="C275" s="92" t="s">
        <v>989</v>
      </c>
      <c r="D275" s="140"/>
      <c r="E275" s="140">
        <v>400</v>
      </c>
      <c r="F275" s="140">
        <f t="shared" ref="F275:F276" si="23">E275-D275</f>
        <v>400</v>
      </c>
      <c r="G275" s="425"/>
      <c r="AJ275" s="140"/>
      <c r="AK275" s="89"/>
    </row>
    <row r="276" spans="1:37" ht="24" hidden="1" customHeight="1" x14ac:dyDescent="0.2">
      <c r="A276" s="110" t="s">
        <v>970</v>
      </c>
      <c r="B276" s="80" t="s">
        <v>960</v>
      </c>
      <c r="C276" s="92" t="s">
        <v>999</v>
      </c>
      <c r="D276" s="140"/>
      <c r="E276" s="140"/>
      <c r="F276" s="140">
        <f t="shared" si="23"/>
        <v>0</v>
      </c>
      <c r="G276" s="425"/>
      <c r="AJ276" s="140"/>
      <c r="AK276" s="89">
        <f t="shared" si="21"/>
        <v>0</v>
      </c>
    </row>
    <row r="277" spans="1:37" ht="24" customHeight="1" x14ac:dyDescent="0.2">
      <c r="A277" s="110" t="s">
        <v>970</v>
      </c>
      <c r="B277" s="80" t="s">
        <v>961</v>
      </c>
      <c r="C277" s="92" t="s">
        <v>989</v>
      </c>
      <c r="D277" s="140"/>
      <c r="E277" s="140">
        <v>150</v>
      </c>
      <c r="F277" s="140">
        <f>E277-D277</f>
        <v>150</v>
      </c>
      <c r="G277" s="213"/>
      <c r="H277" s="414"/>
      <c r="AJ277" s="140"/>
      <c r="AK277" s="89">
        <f t="shared" si="21"/>
        <v>0</v>
      </c>
    </row>
    <row r="278" spans="1:37" ht="15" customHeight="1" x14ac:dyDescent="0.2">
      <c r="A278" s="200" t="s">
        <v>99</v>
      </c>
      <c r="B278" s="201" t="s">
        <v>186</v>
      </c>
      <c r="C278" s="537" t="s">
        <v>187</v>
      </c>
      <c r="D278" s="225">
        <f>D279</f>
        <v>2234.9</v>
      </c>
      <c r="E278" s="225">
        <f>E279</f>
        <v>4131</v>
      </c>
      <c r="F278" s="225">
        <f>F279</f>
        <v>1896.1</v>
      </c>
      <c r="G278" s="424"/>
      <c r="H278" s="414"/>
      <c r="M278" s="367">
        <v>3931</v>
      </c>
      <c r="N278" s="414">
        <f>M278-E278</f>
        <v>-200</v>
      </c>
      <c r="AJ278" s="225">
        <f>AJ279</f>
        <v>0</v>
      </c>
      <c r="AK278" s="89">
        <f t="shared" si="21"/>
        <v>2234.9</v>
      </c>
    </row>
    <row r="279" spans="1:37" ht="15" customHeight="1" x14ac:dyDescent="0.2">
      <c r="A279" s="110" t="s">
        <v>99</v>
      </c>
      <c r="B279" s="80" t="s">
        <v>990</v>
      </c>
      <c r="C279" s="530" t="s">
        <v>36</v>
      </c>
      <c r="D279" s="140">
        <f>SUM(D280:D284)</f>
        <v>2234.9</v>
      </c>
      <c r="E279" s="140">
        <f>SUM(E280:E284)</f>
        <v>4131</v>
      </c>
      <c r="F279" s="140">
        <f>SUM(F280:F284)</f>
        <v>1896.1</v>
      </c>
      <c r="G279" s="425"/>
      <c r="AJ279" s="140">
        <f>SUM(AJ280:AJ284)</f>
        <v>0</v>
      </c>
      <c r="AK279" s="89">
        <f t="shared" si="21"/>
        <v>2234.9</v>
      </c>
    </row>
    <row r="280" spans="1:37" ht="18" customHeight="1" x14ac:dyDescent="0.2">
      <c r="A280" s="110" t="s">
        <v>969</v>
      </c>
      <c r="B280" s="80" t="s">
        <v>962</v>
      </c>
      <c r="C280" s="92" t="s">
        <v>36</v>
      </c>
      <c r="D280" s="140">
        <v>242</v>
      </c>
      <c r="E280" s="140">
        <f>242+200</f>
        <v>442</v>
      </c>
      <c r="F280" s="140">
        <f>E280-D280</f>
        <v>200</v>
      </c>
      <c r="G280" s="213"/>
      <c r="H280" s="414"/>
      <c r="AJ280" s="140">
        <v>0</v>
      </c>
      <c r="AK280" s="89">
        <f t="shared" si="21"/>
        <v>242</v>
      </c>
    </row>
    <row r="281" spans="1:37" ht="17.25" hidden="1" customHeight="1" x14ac:dyDescent="0.2">
      <c r="A281" s="110" t="s">
        <v>180</v>
      </c>
      <c r="B281" s="80" t="s">
        <v>962</v>
      </c>
      <c r="C281" s="92" t="s">
        <v>36</v>
      </c>
      <c r="D281" s="140"/>
      <c r="E281" s="140"/>
      <c r="F281" s="140">
        <f>E281-D281</f>
        <v>0</v>
      </c>
      <c r="G281" s="213"/>
      <c r="H281" s="414"/>
      <c r="AJ281" s="140"/>
      <c r="AK281" s="89"/>
    </row>
    <row r="282" spans="1:37" ht="15" customHeight="1" x14ac:dyDescent="0.2">
      <c r="A282" s="110" t="s">
        <v>98</v>
      </c>
      <c r="B282" s="80" t="s">
        <v>962</v>
      </c>
      <c r="C282" s="530" t="s">
        <v>36</v>
      </c>
      <c r="D282" s="140">
        <v>912.4</v>
      </c>
      <c r="E282" s="140">
        <v>1734.12</v>
      </c>
      <c r="F282" s="140">
        <f>E282-D282</f>
        <v>821.71999999999991</v>
      </c>
      <c r="G282" s="213">
        <v>475</v>
      </c>
      <c r="H282" s="414"/>
      <c r="M282" s="367">
        <v>242</v>
      </c>
      <c r="AJ282" s="140"/>
      <c r="AK282" s="89">
        <f t="shared" si="21"/>
        <v>912.4</v>
      </c>
    </row>
    <row r="283" spans="1:37" ht="14.25" hidden="1" customHeight="1" x14ac:dyDescent="0.2">
      <c r="A283" s="110" t="s">
        <v>204</v>
      </c>
      <c r="B283" s="80" t="s">
        <v>962</v>
      </c>
      <c r="C283" s="92" t="s">
        <v>36</v>
      </c>
      <c r="D283" s="140"/>
      <c r="E283" s="140"/>
      <c r="F283" s="140">
        <f>E283-D283</f>
        <v>0</v>
      </c>
      <c r="G283" s="213"/>
      <c r="H283" s="414"/>
      <c r="AJ283" s="140"/>
      <c r="AK283" s="89">
        <f t="shared" si="21"/>
        <v>0</v>
      </c>
    </row>
    <row r="284" spans="1:37" ht="15" customHeight="1" x14ac:dyDescent="0.2">
      <c r="A284" s="110" t="s">
        <v>970</v>
      </c>
      <c r="B284" s="80" t="s">
        <v>962</v>
      </c>
      <c r="C284" s="92" t="s">
        <v>36</v>
      </c>
      <c r="D284" s="140">
        <v>1080.5</v>
      </c>
      <c r="E284" s="140">
        <v>1954.88</v>
      </c>
      <c r="F284" s="140">
        <f>E284-D284</f>
        <v>874.38000000000011</v>
      </c>
      <c r="G284" s="213"/>
      <c r="H284" s="414"/>
      <c r="AJ284" s="140"/>
      <c r="AK284" s="89">
        <f t="shared" si="21"/>
        <v>1080.5</v>
      </c>
    </row>
    <row r="285" spans="1:37" ht="62.25" customHeight="1" x14ac:dyDescent="0.2">
      <c r="A285" s="198" t="s">
        <v>99</v>
      </c>
      <c r="B285" s="199" t="s">
        <v>52</v>
      </c>
      <c r="C285" s="538" t="s">
        <v>670</v>
      </c>
      <c r="D285" s="226">
        <f>D286</f>
        <v>1000</v>
      </c>
      <c r="E285" s="226">
        <f>E286</f>
        <v>1000</v>
      </c>
      <c r="F285" s="226">
        <f>F286</f>
        <v>0</v>
      </c>
      <c r="G285" s="415"/>
      <c r="H285" s="414"/>
      <c r="AJ285" s="226" t="e">
        <f>AJ286+#REF!</f>
        <v>#REF!</v>
      </c>
      <c r="AK285" s="89" t="e">
        <f t="shared" si="21"/>
        <v>#REF!</v>
      </c>
    </row>
    <row r="286" spans="1:37" ht="51" customHeight="1" x14ac:dyDescent="0.2">
      <c r="A286" s="110" t="s">
        <v>99</v>
      </c>
      <c r="B286" s="80" t="s">
        <v>1649</v>
      </c>
      <c r="C286" s="274" t="s">
        <v>1650</v>
      </c>
      <c r="D286" s="223">
        <f>D287+D288+D290</f>
        <v>1000</v>
      </c>
      <c r="E286" s="223">
        <f>E287+E288+E290</f>
        <v>1000</v>
      </c>
      <c r="F286" s="223">
        <f>F287+F288+F290</f>
        <v>0</v>
      </c>
      <c r="G286" s="214"/>
      <c r="H286" s="414"/>
      <c r="AJ286" s="223" t="e">
        <f>#REF!</f>
        <v>#REF!</v>
      </c>
      <c r="AK286" s="89" t="e">
        <f t="shared" si="21"/>
        <v>#REF!</v>
      </c>
    </row>
    <row r="287" spans="1:37" ht="28.5" hidden="1" customHeight="1" x14ac:dyDescent="0.2">
      <c r="A287" s="110" t="s">
        <v>180</v>
      </c>
      <c r="B287" s="82" t="s">
        <v>1648</v>
      </c>
      <c r="C287" s="274" t="s">
        <v>769</v>
      </c>
      <c r="D287" s="223"/>
      <c r="E287" s="223"/>
      <c r="F287" s="140">
        <f>E287-D287</f>
        <v>0</v>
      </c>
      <c r="G287" s="214"/>
      <c r="AJ287" s="223"/>
      <c r="AK287" s="89">
        <f t="shared" si="21"/>
        <v>0</v>
      </c>
    </row>
    <row r="288" spans="1:37" ht="26.25" customHeight="1" x14ac:dyDescent="0.2">
      <c r="A288" s="110" t="s">
        <v>204</v>
      </c>
      <c r="B288" s="82" t="s">
        <v>1982</v>
      </c>
      <c r="C288" s="274" t="s">
        <v>770</v>
      </c>
      <c r="D288" s="223">
        <v>1000</v>
      </c>
      <c r="E288" s="223">
        <v>1000</v>
      </c>
      <c r="F288" s="140">
        <f>E288-D288</f>
        <v>0</v>
      </c>
      <c r="G288" s="214"/>
      <c r="AJ288" s="223"/>
      <c r="AK288" s="89">
        <f t="shared" si="21"/>
        <v>1000</v>
      </c>
    </row>
    <row r="289" spans="1:37" ht="18" hidden="1" customHeight="1" x14ac:dyDescent="0.2">
      <c r="A289" s="110" t="s">
        <v>99</v>
      </c>
      <c r="B289" s="82" t="s">
        <v>166</v>
      </c>
      <c r="C289" s="274" t="s">
        <v>468</v>
      </c>
      <c r="D289" s="223">
        <f>D290</f>
        <v>0</v>
      </c>
      <c r="E289" s="223">
        <f>E290</f>
        <v>0</v>
      </c>
      <c r="F289" s="223">
        <f>F290</f>
        <v>0</v>
      </c>
      <c r="G289" s="214"/>
      <c r="AJ289" s="223">
        <f>AJ290</f>
        <v>0</v>
      </c>
      <c r="AK289" s="89">
        <f t="shared" si="21"/>
        <v>0</v>
      </c>
    </row>
    <row r="290" spans="1:37" ht="18" hidden="1" customHeight="1" x14ac:dyDescent="0.2">
      <c r="A290" s="110" t="s">
        <v>98</v>
      </c>
      <c r="B290" s="82" t="s">
        <v>166</v>
      </c>
      <c r="C290" s="274" t="s">
        <v>468</v>
      </c>
      <c r="D290" s="223"/>
      <c r="E290" s="223"/>
      <c r="F290" s="140">
        <f>E290-D290</f>
        <v>0</v>
      </c>
      <c r="G290" s="214"/>
      <c r="AJ290" s="223"/>
      <c r="AK290" s="89">
        <f t="shared" si="21"/>
        <v>0</v>
      </c>
    </row>
    <row r="291" spans="1:37" ht="27" customHeight="1" x14ac:dyDescent="0.2">
      <c r="A291" s="198" t="s">
        <v>99</v>
      </c>
      <c r="B291" s="199" t="s">
        <v>53</v>
      </c>
      <c r="C291" s="538" t="s">
        <v>280</v>
      </c>
      <c r="D291" s="226">
        <f>D292</f>
        <v>-2742.7095099999997</v>
      </c>
      <c r="E291" s="226">
        <f>E292</f>
        <v>-2996.0145599999996</v>
      </c>
      <c r="F291" s="226">
        <f>F292</f>
        <v>-253.30504999999999</v>
      </c>
      <c r="G291" s="415"/>
      <c r="M291" s="367">
        <v>-814.73571000000004</v>
      </c>
      <c r="N291" s="414">
        <f>M291-E291</f>
        <v>2181.2788499999997</v>
      </c>
      <c r="AJ291" s="226" t="e">
        <f>AJ292</f>
        <v>#REF!</v>
      </c>
      <c r="AK291" s="89" t="e">
        <f t="shared" si="21"/>
        <v>#REF!</v>
      </c>
    </row>
    <row r="292" spans="1:37" ht="24.75" customHeight="1" x14ac:dyDescent="0.2">
      <c r="A292" s="110" t="s">
        <v>99</v>
      </c>
      <c r="B292" s="82" t="s">
        <v>1500</v>
      </c>
      <c r="C292" s="274" t="s">
        <v>205</v>
      </c>
      <c r="D292" s="223">
        <f>SUM(D293:D301)</f>
        <v>-2742.7095099999997</v>
      </c>
      <c r="E292" s="223">
        <f>SUM(E293:E301)</f>
        <v>-2996.0145599999996</v>
      </c>
      <c r="F292" s="223">
        <f>SUM(F293:F301)</f>
        <v>-253.30504999999999</v>
      </c>
      <c r="G292" s="214"/>
      <c r="AJ292" s="223" t="e">
        <f>#REF!+#REF!+#REF!</f>
        <v>#REF!</v>
      </c>
      <c r="AK292" s="89" t="e">
        <f t="shared" si="21"/>
        <v>#REF!</v>
      </c>
    </row>
    <row r="293" spans="1:37" ht="28.5" customHeight="1" x14ac:dyDescent="0.2">
      <c r="A293" s="110" t="s">
        <v>204</v>
      </c>
      <c r="B293" s="82" t="s">
        <v>1984</v>
      </c>
      <c r="C293" s="274" t="s">
        <v>1983</v>
      </c>
      <c r="D293" s="223">
        <v>-1000</v>
      </c>
      <c r="E293" s="223">
        <v>-1000</v>
      </c>
      <c r="F293" s="140">
        <f t="shared" ref="F293:F301" si="24">E293-D293</f>
        <v>0</v>
      </c>
      <c r="G293" s="213"/>
      <c r="AJ293" s="223"/>
      <c r="AK293" s="89">
        <f t="shared" si="21"/>
        <v>-1000</v>
      </c>
    </row>
    <row r="294" spans="1:37" ht="36.75" hidden="1" customHeight="1" x14ac:dyDescent="0.2">
      <c r="A294" s="110" t="s">
        <v>98</v>
      </c>
      <c r="B294" s="82" t="s">
        <v>1501</v>
      </c>
      <c r="C294" s="274" t="s">
        <v>1502</v>
      </c>
      <c r="D294" s="223"/>
      <c r="E294" s="223"/>
      <c r="F294" s="140">
        <f t="shared" si="24"/>
        <v>0</v>
      </c>
      <c r="G294" s="213"/>
      <c r="AJ294" s="223"/>
      <c r="AK294" s="89">
        <f t="shared" si="21"/>
        <v>0</v>
      </c>
    </row>
    <row r="295" spans="1:37" ht="52.5" hidden="1" customHeight="1" x14ac:dyDescent="0.2">
      <c r="A295" s="110" t="s">
        <v>180</v>
      </c>
      <c r="B295" s="82" t="s">
        <v>1646</v>
      </c>
      <c r="C295" s="274" t="s">
        <v>1647</v>
      </c>
      <c r="D295" s="223"/>
      <c r="E295" s="223"/>
      <c r="F295" s="140">
        <f t="shared" si="24"/>
        <v>0</v>
      </c>
      <c r="G295" s="213"/>
      <c r="AJ295" s="223"/>
      <c r="AK295" s="89"/>
    </row>
    <row r="296" spans="1:37" ht="27" customHeight="1" x14ac:dyDescent="0.2">
      <c r="A296" s="110" t="s">
        <v>622</v>
      </c>
      <c r="B296" s="82" t="s">
        <v>991</v>
      </c>
      <c r="C296" s="274" t="s">
        <v>671</v>
      </c>
      <c r="D296" s="223">
        <v>-0.41499999999999998</v>
      </c>
      <c r="E296" s="223">
        <v>-0.41499999999999998</v>
      </c>
      <c r="F296" s="140">
        <f>E296-D296</f>
        <v>0</v>
      </c>
      <c r="G296" s="213"/>
      <c r="AJ296" s="223"/>
      <c r="AK296" s="89">
        <f>D296-AJ296</f>
        <v>-0.41499999999999998</v>
      </c>
    </row>
    <row r="297" spans="1:37" ht="24" customHeight="1" x14ac:dyDescent="0.2">
      <c r="A297" s="110" t="s">
        <v>180</v>
      </c>
      <c r="B297" s="82" t="s">
        <v>991</v>
      </c>
      <c r="C297" s="274" t="s">
        <v>671</v>
      </c>
      <c r="D297" s="223">
        <f>-0.00022-21.353-927.9738</f>
        <v>-949.32701999999995</v>
      </c>
      <c r="E297" s="223">
        <f>-0.00022-21.353-927.9738</f>
        <v>-949.32701999999995</v>
      </c>
      <c r="F297" s="140">
        <f t="shared" si="24"/>
        <v>0</v>
      </c>
      <c r="G297" s="213"/>
      <c r="AJ297" s="223"/>
      <c r="AK297" s="89">
        <f t="shared" si="21"/>
        <v>-949.32701999999995</v>
      </c>
    </row>
    <row r="298" spans="1:37" ht="26.25" hidden="1" customHeight="1" x14ac:dyDescent="0.2">
      <c r="A298" s="135" t="s">
        <v>98</v>
      </c>
      <c r="B298" s="82" t="s">
        <v>991</v>
      </c>
      <c r="C298" s="93" t="s">
        <v>671</v>
      </c>
      <c r="D298" s="223"/>
      <c r="E298" s="223"/>
      <c r="F298" s="140">
        <f t="shared" si="24"/>
        <v>0</v>
      </c>
      <c r="G298" s="213"/>
      <c r="AJ298" s="223"/>
      <c r="AK298" s="89">
        <f t="shared" si="21"/>
        <v>0</v>
      </c>
    </row>
    <row r="299" spans="1:37" ht="24.75" customHeight="1" x14ac:dyDescent="0.2">
      <c r="A299" s="584" t="s">
        <v>182</v>
      </c>
      <c r="B299" s="82" t="s">
        <v>991</v>
      </c>
      <c r="C299" s="274" t="s">
        <v>671</v>
      </c>
      <c r="D299" s="223">
        <v>-10.96749</v>
      </c>
      <c r="E299" s="223">
        <v>-10.96749</v>
      </c>
      <c r="F299" s="140">
        <f t="shared" si="24"/>
        <v>0</v>
      </c>
      <c r="G299" s="213"/>
      <c r="AJ299" s="223"/>
      <c r="AK299" s="89">
        <f t="shared" si="21"/>
        <v>-10.96749</v>
      </c>
    </row>
    <row r="300" spans="1:37" ht="24.75" customHeight="1" x14ac:dyDescent="0.2">
      <c r="A300" s="135" t="s">
        <v>204</v>
      </c>
      <c r="B300" s="82" t="s">
        <v>991</v>
      </c>
      <c r="C300" s="274" t="s">
        <v>671</v>
      </c>
      <c r="D300" s="223">
        <v>-782</v>
      </c>
      <c r="E300" s="223">
        <v>-782</v>
      </c>
      <c r="F300" s="140">
        <f t="shared" si="24"/>
        <v>0</v>
      </c>
      <c r="G300" s="213"/>
      <c r="H300" s="414"/>
      <c r="AJ300" s="223">
        <v>-1.0000000000000001E-5</v>
      </c>
      <c r="AK300" s="89">
        <f t="shared" si="21"/>
        <v>-781.99999000000003</v>
      </c>
    </row>
    <row r="301" spans="1:37" ht="24.75" customHeight="1" x14ac:dyDescent="0.2">
      <c r="A301" s="135" t="s">
        <v>970</v>
      </c>
      <c r="B301" s="82" t="s">
        <v>991</v>
      </c>
      <c r="C301" s="274" t="s">
        <v>671</v>
      </c>
      <c r="D301" s="223"/>
      <c r="E301" s="223">
        <v>-253.30504999999999</v>
      </c>
      <c r="F301" s="140">
        <f t="shared" si="24"/>
        <v>-253.30504999999999</v>
      </c>
      <c r="G301" s="213"/>
      <c r="AJ301" s="223"/>
      <c r="AK301" s="89">
        <f t="shared" si="21"/>
        <v>0</v>
      </c>
    </row>
    <row r="302" spans="1:37" x14ac:dyDescent="0.2">
      <c r="H302" s="239"/>
    </row>
    <row r="303" spans="1:37" x14ac:dyDescent="0.2">
      <c r="D303" s="239"/>
      <c r="E303" s="239"/>
      <c r="F303" s="239"/>
      <c r="G303" s="239"/>
      <c r="AJ303" s="239"/>
    </row>
    <row r="304" spans="1:37" x14ac:dyDescent="0.2">
      <c r="A304" s="65">
        <v>921</v>
      </c>
      <c r="B304" s="141">
        <v>402.49979999999999</v>
      </c>
      <c r="C304" s="368">
        <v>921</v>
      </c>
      <c r="D304" s="596">
        <f>D213+D296+D188</f>
        <v>817.28500000000008</v>
      </c>
      <c r="E304" s="596">
        <f>E213+E296+E188</f>
        <v>842.28500000000008</v>
      </c>
      <c r="F304" s="596">
        <f>F213+F296+F188</f>
        <v>25</v>
      </c>
      <c r="G304" s="239">
        <v>817.28500000000008</v>
      </c>
      <c r="H304" s="141">
        <v>402.49979999999999</v>
      </c>
      <c r="I304" s="414">
        <f>H304-E304</f>
        <v>-439.78520000000009</v>
      </c>
      <c r="M304" s="597">
        <f>G304-E304</f>
        <v>-25</v>
      </c>
      <c r="AJ304" s="411">
        <f>AJ297+AJ213+AJ189</f>
        <v>675.7</v>
      </c>
      <c r="AK304">
        <f t="shared" ref="AK304:AK315" si="25">D304-AJ304</f>
        <v>141.58500000000004</v>
      </c>
    </row>
    <row r="305" spans="1:37" x14ac:dyDescent="0.2">
      <c r="A305" s="65">
        <v>922</v>
      </c>
      <c r="B305" s="141">
        <v>1220.164</v>
      </c>
      <c r="C305" s="368">
        <v>922</v>
      </c>
      <c r="D305" s="595">
        <f>D193+D194+D178+D179+D249+D90+D280</f>
        <v>1547.3999999999999</v>
      </c>
      <c r="E305" s="595">
        <f>E193+E194+E178+E179+E249+E90+E280</f>
        <v>1390.7573</v>
      </c>
      <c r="F305" s="595">
        <f>F193+F194+F178+F179+F249+F90+F280</f>
        <v>-156.64269999999999</v>
      </c>
      <c r="G305" s="239">
        <v>1547.3999999999999</v>
      </c>
      <c r="H305" s="239">
        <v>1220.164</v>
      </c>
      <c r="I305" s="414">
        <f t="shared" ref="I305:I314" si="26">H305-E305</f>
        <v>-170.5933</v>
      </c>
      <c r="J305" s="239">
        <f>J193+J194+J178+J179+J94+J180+J181</f>
        <v>0</v>
      </c>
      <c r="K305" s="239">
        <f>K193+K194+K178+K179+K94+K180+K181</f>
        <v>0</v>
      </c>
      <c r="L305" s="239">
        <f>L193+L194+L178+L179+L94+L180+L181</f>
        <v>0</v>
      </c>
      <c r="M305" s="597">
        <f t="shared" ref="M305:M313" si="27">G305-E305</f>
        <v>156.64269999999988</v>
      </c>
      <c r="N305" s="239">
        <f t="shared" ref="N305:AJ305" si="28">N193+N194+N178+N179+N94+N180+N181</f>
        <v>0</v>
      </c>
      <c r="O305" s="239">
        <f t="shared" si="28"/>
        <v>0</v>
      </c>
      <c r="P305" s="239">
        <f t="shared" si="28"/>
        <v>0</v>
      </c>
      <c r="Q305" s="239">
        <f t="shared" si="28"/>
        <v>0</v>
      </c>
      <c r="R305" s="239">
        <f t="shared" si="28"/>
        <v>0</v>
      </c>
      <c r="S305" s="239">
        <f t="shared" si="28"/>
        <v>0</v>
      </c>
      <c r="T305" s="239">
        <f t="shared" si="28"/>
        <v>0</v>
      </c>
      <c r="U305" s="239">
        <f t="shared" si="28"/>
        <v>0</v>
      </c>
      <c r="V305" s="239">
        <f t="shared" si="28"/>
        <v>0</v>
      </c>
      <c r="W305" s="239">
        <f t="shared" si="28"/>
        <v>0</v>
      </c>
      <c r="X305" s="239">
        <f t="shared" si="28"/>
        <v>0</v>
      </c>
      <c r="Y305" s="239">
        <f t="shared" si="28"/>
        <v>0</v>
      </c>
      <c r="Z305" s="239">
        <f t="shared" si="28"/>
        <v>0</v>
      </c>
      <c r="AA305" s="239">
        <f t="shared" si="28"/>
        <v>0</v>
      </c>
      <c r="AB305" s="239">
        <f t="shared" si="28"/>
        <v>0</v>
      </c>
      <c r="AC305" s="239">
        <f t="shared" si="28"/>
        <v>0</v>
      </c>
      <c r="AD305" s="239">
        <f t="shared" si="28"/>
        <v>0</v>
      </c>
      <c r="AE305" s="239">
        <f t="shared" si="28"/>
        <v>0</v>
      </c>
      <c r="AF305" s="239">
        <f t="shared" si="28"/>
        <v>0</v>
      </c>
      <c r="AG305" s="239">
        <f t="shared" si="28"/>
        <v>0</v>
      </c>
      <c r="AH305" s="239">
        <f t="shared" si="28"/>
        <v>0</v>
      </c>
      <c r="AI305" s="239">
        <f t="shared" si="28"/>
        <v>0</v>
      </c>
      <c r="AJ305" s="239">
        <f t="shared" si="28"/>
        <v>1027.8</v>
      </c>
      <c r="AK305">
        <f t="shared" si="25"/>
        <v>519.59999999999991</v>
      </c>
    </row>
    <row r="306" spans="1:37" x14ac:dyDescent="0.2">
      <c r="A306" s="65">
        <v>931</v>
      </c>
      <c r="B306" s="141">
        <v>0</v>
      </c>
      <c r="C306" s="368">
        <v>931</v>
      </c>
      <c r="D306" s="414"/>
      <c r="E306" s="414"/>
      <c r="F306" s="414"/>
      <c r="G306" s="239">
        <v>0</v>
      </c>
      <c r="H306" s="141">
        <v>0</v>
      </c>
      <c r="I306" s="414">
        <f t="shared" si="26"/>
        <v>0</v>
      </c>
      <c r="M306" s="597">
        <f t="shared" si="27"/>
        <v>0</v>
      </c>
      <c r="AJ306" s="240"/>
      <c r="AK306">
        <f t="shared" si="25"/>
        <v>0</v>
      </c>
    </row>
    <row r="307" spans="1:37" x14ac:dyDescent="0.2">
      <c r="A307" s="65">
        <v>939</v>
      </c>
      <c r="B307" s="141">
        <v>2821.23659</v>
      </c>
      <c r="C307" s="368">
        <v>939</v>
      </c>
      <c r="D307" s="595">
        <f>D182+D122+D123+D68+D217+D75+D125+D124+D104</f>
        <v>3181.3367499999999</v>
      </c>
      <c r="E307" s="595">
        <f>E182+E122+E123+E68+E217+E75+E125+E124+E104</f>
        <v>3181.3367499999999</v>
      </c>
      <c r="F307" s="595">
        <f>F182+F122+F123+F68+F217+F75+F125+F124+F104</f>
        <v>0</v>
      </c>
      <c r="G307" s="239">
        <v>3181.3367499999999</v>
      </c>
      <c r="H307" s="141">
        <v>2821.23659</v>
      </c>
      <c r="I307" s="414">
        <f t="shared" si="26"/>
        <v>-360.10015999999996</v>
      </c>
      <c r="M307" s="597">
        <f t="shared" si="27"/>
        <v>0</v>
      </c>
      <c r="AJ307" s="240">
        <f>AJ182+AJ122</f>
        <v>520.1</v>
      </c>
      <c r="AK307">
        <f t="shared" si="25"/>
        <v>2661.23675</v>
      </c>
    </row>
    <row r="308" spans="1:37" x14ac:dyDescent="0.2">
      <c r="A308" s="65">
        <v>957</v>
      </c>
      <c r="B308" s="141">
        <v>50888.899739999993</v>
      </c>
      <c r="C308" s="368">
        <v>957</v>
      </c>
      <c r="D308" s="595">
        <f>D215+D176+D126+D127+D78+D59+D232+D235+D92+D65+D71</f>
        <v>50581.414879999997</v>
      </c>
      <c r="E308" s="595">
        <f>E215+E176+E126+E127+E78+E59+E232+E235+E92+E65+E71</f>
        <v>55321.014879999995</v>
      </c>
      <c r="F308" s="595">
        <f>F215+F176+F126+F127+F78+F59+F232+F235+F92+F65+F71</f>
        <v>4739.5999999999985</v>
      </c>
      <c r="G308" s="239">
        <v>55321.014880000002</v>
      </c>
      <c r="H308" s="141">
        <v>50888.899739999993</v>
      </c>
      <c r="I308" s="414">
        <f t="shared" si="26"/>
        <v>-4432.1151400000017</v>
      </c>
      <c r="M308" s="597">
        <f t="shared" si="27"/>
        <v>0</v>
      </c>
      <c r="AJ308" s="239" t="e">
        <f>AJ249+AJ215+AJ176+AJ126+AJ127+AJ78+AJ59</f>
        <v>#REF!</v>
      </c>
      <c r="AK308" t="e">
        <f t="shared" si="25"/>
        <v>#REF!</v>
      </c>
    </row>
    <row r="309" spans="1:37" x14ac:dyDescent="0.2">
      <c r="A309" s="65">
        <v>958</v>
      </c>
      <c r="B309" s="141">
        <v>895837.56073000003</v>
      </c>
      <c r="C309" s="368">
        <v>958</v>
      </c>
      <c r="D309" s="595">
        <f>D251+D226+D206+D205+D204+D186+D185+D174+D169+D168+D164+D142+D139+D138+D137+D136+D135+D134+D133+D132+D131+D47+D44+D35+D38+D107+D297+D281+D140+D287+D295+D94+D223+D141+D170+D171+D172+D220</f>
        <v>801795.93810000014</v>
      </c>
      <c r="E309" s="595">
        <f>E251+E226+E206+E205+E204+E186+E185+E174+E169+E168+E164+E142+E139+E138+E137+E136+E135+E134+E133+E132+E131+E47+E44+E35+E38+E107+E297+E281+E140+E287+E295+E94+E223+E141+E170+E171+E172+E220</f>
        <v>825921.01566999999</v>
      </c>
      <c r="F309" s="595">
        <f>F251+F226+F206+F205+F204+F186+F185+F174+F169+F168+F164+F142+F139+F138+F137+F136+F135+F134+F133+F132+F131+F47+F44+F35+F38+F107+F297+F281+F140+F287+F295+F94+F223+F141+F170+F171+F172+F220</f>
        <v>24125.077569999998</v>
      </c>
      <c r="G309" s="239">
        <v>824473.83810000005</v>
      </c>
      <c r="H309" s="141">
        <v>895837.56073000003</v>
      </c>
      <c r="I309" s="414">
        <f t="shared" si="26"/>
        <v>69916.545060000033</v>
      </c>
      <c r="M309" s="597">
        <f>G309-E309</f>
        <v>-1447.1775699999416</v>
      </c>
      <c r="AJ309" s="239">
        <f>AJ299+AJ251+AJ226+AJ206+AJ205+AJ204+AJ186+AJ185+AJ174+AJ169+AJ168+AJ164+AJ142+AJ141+AJ139+AJ138+AJ137+AJ136+AJ135+AJ134+AJ133+AJ132+AJ131+AJ47+AJ44</f>
        <v>479380.20000000007</v>
      </c>
      <c r="AK309">
        <f t="shared" si="25"/>
        <v>322415.73810000008</v>
      </c>
    </row>
    <row r="310" spans="1:37" x14ac:dyDescent="0.2">
      <c r="A310" s="65">
        <v>959</v>
      </c>
      <c r="B310" s="141">
        <v>267185.17236999999</v>
      </c>
      <c r="C310" s="368">
        <v>959</v>
      </c>
      <c r="D310" s="414">
        <f>D282+D256+D229+D192+D191+D190+D183+D148+D144+D84+D198+D201+D189+D294+D96+D110+D298+D238+D145+D149+D147+D290+D117+D56+D16</f>
        <v>195792.98203000001</v>
      </c>
      <c r="E310" s="414">
        <f t="shared" ref="E310" si="29">E282+E256+E229+E192+E191+E190+E183+E148+E144+E84+E198+E201+E189+E294+E96+E110+E298+E238+E145+E149+E147+E290+E117+E56+E16</f>
        <v>205465.08489999996</v>
      </c>
      <c r="F310" s="414">
        <f t="shared" ref="F310" si="30">F282+F256+F229+F192+F191+F190+F183+F148+F144+F84+F198+F201+F189+F294+F96+F110+F298+F238+F145+F149+F147+F290+F117+F56+F16</f>
        <v>9672.1028700000024</v>
      </c>
      <c r="G310" s="239">
        <v>205465.08489999996</v>
      </c>
      <c r="H310" s="240">
        <v>267185.27651</v>
      </c>
      <c r="I310" s="414">
        <f t="shared" si="26"/>
        <v>61720.191610000038</v>
      </c>
      <c r="J310" s="240">
        <f>J282+J256+J229+J192+J191+J190+J183+J148+J144+J84+J198+J95</f>
        <v>0</v>
      </c>
      <c r="K310" s="240">
        <f>K282+K256+K229+K192+K191+K190+K183+K148+K144+K84+K198+K95</f>
        <v>0</v>
      </c>
      <c r="L310" s="240">
        <f>L282+L256+L229+L192+L191+L190+L183+L148+L144+L84+L198+L95</f>
        <v>0</v>
      </c>
      <c r="M310" s="597">
        <f t="shared" si="27"/>
        <v>0</v>
      </c>
      <c r="N310" s="240">
        <f t="shared" ref="N310:AK310" si="31">N282+N256+N229+N192+N191+N190+N183+N148+N144+N84+N198+N95</f>
        <v>0</v>
      </c>
      <c r="O310" s="240">
        <f t="shared" si="31"/>
        <v>0</v>
      </c>
      <c r="P310" s="240">
        <f t="shared" si="31"/>
        <v>0</v>
      </c>
      <c r="Q310" s="240">
        <f t="shared" si="31"/>
        <v>0</v>
      </c>
      <c r="R310" s="240">
        <f t="shared" si="31"/>
        <v>0</v>
      </c>
      <c r="S310" s="240">
        <f t="shared" si="31"/>
        <v>0</v>
      </c>
      <c r="T310" s="240">
        <f t="shared" si="31"/>
        <v>0</v>
      </c>
      <c r="U310" s="240">
        <f t="shared" si="31"/>
        <v>0</v>
      </c>
      <c r="V310" s="240">
        <f t="shared" si="31"/>
        <v>0</v>
      </c>
      <c r="W310" s="240">
        <f t="shared" si="31"/>
        <v>0</v>
      </c>
      <c r="X310" s="240">
        <f t="shared" si="31"/>
        <v>0</v>
      </c>
      <c r="Y310" s="240">
        <f t="shared" si="31"/>
        <v>0</v>
      </c>
      <c r="Z310" s="240">
        <f t="shared" si="31"/>
        <v>0</v>
      </c>
      <c r="AA310" s="240">
        <f t="shared" si="31"/>
        <v>0</v>
      </c>
      <c r="AB310" s="240">
        <f t="shared" si="31"/>
        <v>0</v>
      </c>
      <c r="AC310" s="240">
        <f t="shared" si="31"/>
        <v>0</v>
      </c>
      <c r="AD310" s="240">
        <f t="shared" si="31"/>
        <v>0</v>
      </c>
      <c r="AE310" s="240">
        <f t="shared" si="31"/>
        <v>0</v>
      </c>
      <c r="AF310" s="240">
        <f t="shared" si="31"/>
        <v>0</v>
      </c>
      <c r="AG310" s="240">
        <f t="shared" si="31"/>
        <v>0</v>
      </c>
      <c r="AH310" s="240">
        <f t="shared" si="31"/>
        <v>0</v>
      </c>
      <c r="AI310" s="240">
        <f t="shared" si="31"/>
        <v>0</v>
      </c>
      <c r="AJ310" s="240">
        <f t="shared" si="31"/>
        <v>57308.100000000006</v>
      </c>
      <c r="AK310" s="240">
        <f t="shared" si="31"/>
        <v>79869.616699999999</v>
      </c>
    </row>
    <row r="311" spans="1:37" x14ac:dyDescent="0.2">
      <c r="A311" s="65">
        <v>960</v>
      </c>
      <c r="B311" s="141">
        <v>328912.89040999999</v>
      </c>
      <c r="C311" s="368">
        <v>960</v>
      </c>
      <c r="D311" s="595">
        <f>D264+D216+D173+D151+D150+D74+D11+D121+D143+D13+D299</f>
        <v>383328.23250999994</v>
      </c>
      <c r="E311" s="595">
        <f t="shared" ref="E311" si="32">E264+E216+E173+E151+E150+E74+E11+E121+E143+E13+E299</f>
        <v>517520.43250999996</v>
      </c>
      <c r="F311" s="595">
        <f t="shared" ref="F311" si="33">F264+F216+F173+F151+F150+F74+F11+F121+F143+F13+F299</f>
        <v>134192.20000000001</v>
      </c>
      <c r="G311" s="239">
        <v>474218.63250999991</v>
      </c>
      <c r="H311" s="141">
        <v>328912.89040999999</v>
      </c>
      <c r="I311" s="414">
        <f t="shared" si="26"/>
        <v>-188607.54209999996</v>
      </c>
      <c r="M311" s="597">
        <f t="shared" si="27"/>
        <v>-43301.800000000047</v>
      </c>
      <c r="AJ311" s="239">
        <f>AJ300+AJ264+AJ216+AJ173+AJ151+AJ150+AJ147+AJ74+AJ16+AJ11+AJ121+AJ143</f>
        <v>249243.99998999998</v>
      </c>
      <c r="AK311">
        <f t="shared" si="25"/>
        <v>134084.23251999996</v>
      </c>
    </row>
    <row r="312" spans="1:37" x14ac:dyDescent="0.2">
      <c r="A312" s="65">
        <v>961</v>
      </c>
      <c r="B312" s="141">
        <v>69500.951220000003</v>
      </c>
      <c r="C312" s="368">
        <v>961</v>
      </c>
      <c r="D312" s="595">
        <f>D283+D187+D158+D157+D155+D154+D153+D152+D27+D21+D146+D24+D300+D267+D156+D111+D41+D114+D50+D240+D53+D99+D180+D181+D288+D293</f>
        <v>349975.522</v>
      </c>
      <c r="E312" s="595">
        <f>E283+E187+E158+E157+E155+E154+E153+E152+E27+E21+E146+E24+E300+E267+E156+E111+E41+E114+E50+E240+E53+E99+E180+E181+E288+E293</f>
        <v>452855.85846000002</v>
      </c>
      <c r="F312" s="595">
        <f>F283+F187+F158+F157+F155+F154+F153+F152+F27+F21+F146+F24+F300+F267+F156+F111+F41+F114+F50+F240+F53+F99+F180+F181+F288+F293</f>
        <v>102880.33645999999</v>
      </c>
      <c r="G312" s="239">
        <v>430551.65597999998</v>
      </c>
      <c r="H312" s="414">
        <v>69500.847080000007</v>
      </c>
      <c r="I312" s="414">
        <f t="shared" si="26"/>
        <v>-383355.01138000004</v>
      </c>
      <c r="J312" s="239">
        <f>J283+J217+J187+J158+J157+J155+J154+J153+J152+J111+J27+J21+J145+J146+J24</f>
        <v>0</v>
      </c>
      <c r="K312" s="239">
        <f>K283+K217+K187+K158+K157+K155+K154+K153+K152+K111+K27+K21+K145+K146+K24</f>
        <v>0</v>
      </c>
      <c r="L312" s="239">
        <f>L283+L217+L187+L158+L157+L155+L154+L153+L152+L111+L27+L21+L145+L146+L24</f>
        <v>0</v>
      </c>
      <c r="M312" s="597">
        <f t="shared" si="27"/>
        <v>-22304.202480000036</v>
      </c>
      <c r="N312" s="239">
        <f t="shared" ref="N312:AK312" si="34">N283+N217+N187+N158+N157+N155+N154+N153+N152+N111+N27+N21+N145+N146+N24</f>
        <v>0</v>
      </c>
      <c r="O312" s="239">
        <f t="shared" si="34"/>
        <v>0</v>
      </c>
      <c r="P312" s="239">
        <f t="shared" si="34"/>
        <v>0</v>
      </c>
      <c r="Q312" s="239">
        <f t="shared" si="34"/>
        <v>0</v>
      </c>
      <c r="R312" s="239">
        <f t="shared" si="34"/>
        <v>0</v>
      </c>
      <c r="S312" s="239">
        <f t="shared" si="34"/>
        <v>0</v>
      </c>
      <c r="T312" s="239">
        <f t="shared" si="34"/>
        <v>0</v>
      </c>
      <c r="U312" s="239">
        <f t="shared" si="34"/>
        <v>0</v>
      </c>
      <c r="V312" s="239">
        <f t="shared" si="34"/>
        <v>0</v>
      </c>
      <c r="W312" s="239">
        <f t="shared" si="34"/>
        <v>0</v>
      </c>
      <c r="X312" s="239">
        <f t="shared" si="34"/>
        <v>0</v>
      </c>
      <c r="Y312" s="239">
        <f t="shared" si="34"/>
        <v>0</v>
      </c>
      <c r="Z312" s="239">
        <f t="shared" si="34"/>
        <v>0</v>
      </c>
      <c r="AA312" s="239">
        <f t="shared" si="34"/>
        <v>0</v>
      </c>
      <c r="AB312" s="239">
        <f t="shared" si="34"/>
        <v>0</v>
      </c>
      <c r="AC312" s="239">
        <f t="shared" si="34"/>
        <v>0</v>
      </c>
      <c r="AD312" s="239">
        <f t="shared" si="34"/>
        <v>0</v>
      </c>
      <c r="AE312" s="239">
        <f t="shared" si="34"/>
        <v>0</v>
      </c>
      <c r="AF312" s="239">
        <f t="shared" si="34"/>
        <v>0</v>
      </c>
      <c r="AG312" s="239">
        <f t="shared" si="34"/>
        <v>0</v>
      </c>
      <c r="AH312" s="239">
        <f t="shared" si="34"/>
        <v>0</v>
      </c>
      <c r="AI312" s="239">
        <f t="shared" si="34"/>
        <v>0</v>
      </c>
      <c r="AJ312" s="239">
        <f t="shared" si="34"/>
        <v>179370.1</v>
      </c>
      <c r="AK312" s="239">
        <f t="shared" si="34"/>
        <v>-168493.1</v>
      </c>
    </row>
    <row r="313" spans="1:37" x14ac:dyDescent="0.2">
      <c r="A313" s="65">
        <v>979</v>
      </c>
      <c r="B313" s="141">
        <v>7156.8617400000003</v>
      </c>
      <c r="C313" s="368">
        <v>979</v>
      </c>
      <c r="D313" s="595">
        <f>D301+D284+D175+D161+D160+D62+D159+D277+D32+D276</f>
        <v>12065.738210000001</v>
      </c>
      <c r="E313" s="595">
        <f>E301+E284+E175+E161+E160+E62+E159+E277+E32+E276</f>
        <v>14665.51316</v>
      </c>
      <c r="F313" s="595">
        <f>F301+F284+F175+F161+F160+F62+F159+F277+F32+F276</f>
        <v>2599.7749500000009</v>
      </c>
      <c r="G313" s="239">
        <v>14224.438210000002</v>
      </c>
      <c r="H313" s="141">
        <v>7156.8617400000003</v>
      </c>
      <c r="I313" s="414">
        <f t="shared" si="26"/>
        <v>-7508.6514200000001</v>
      </c>
      <c r="M313" s="597">
        <f t="shared" si="27"/>
        <v>-441.07494999999835</v>
      </c>
      <c r="AJ313" s="239">
        <f>AJ301+AJ284+AJ267+AJ175+AJ161+AJ160+AJ62</f>
        <v>7223.5999999999995</v>
      </c>
      <c r="AK313">
        <f t="shared" si="25"/>
        <v>4842.1382100000019</v>
      </c>
    </row>
    <row r="314" spans="1:37" x14ac:dyDescent="0.2">
      <c r="B314" s="141">
        <v>1623926.2365999999</v>
      </c>
      <c r="C314" s="368" t="s">
        <v>31</v>
      </c>
      <c r="D314" s="414">
        <f>SUM(D304:D313)</f>
        <v>1799085.8494800003</v>
      </c>
      <c r="E314" s="414">
        <f>SUM(E304:E313)</f>
        <v>2077163.2986300001</v>
      </c>
      <c r="F314" s="414">
        <f>SUM(F304:F313)</f>
        <v>278077.44915</v>
      </c>
      <c r="H314" s="141">
        <v>1623926.2366000002</v>
      </c>
      <c r="I314" s="414">
        <f t="shared" si="26"/>
        <v>-453237.06202999991</v>
      </c>
      <c r="AJ314" s="239" t="e">
        <f>SUM(AJ304:AJ313)</f>
        <v>#REF!</v>
      </c>
      <c r="AK314" t="e">
        <f t="shared" si="25"/>
        <v>#REF!</v>
      </c>
    </row>
    <row r="315" spans="1:37" x14ac:dyDescent="0.2">
      <c r="C315" s="368"/>
      <c r="D315" s="414">
        <f>D314-D7</f>
        <v>0</v>
      </c>
      <c r="E315" s="414">
        <f>E314-E7</f>
        <v>-500.00000000023283</v>
      </c>
      <c r="F315" s="414">
        <f>F314-F7</f>
        <v>-500.00000000017462</v>
      </c>
      <c r="AJ315" s="239" t="e">
        <f>AJ314-AJ7</f>
        <v>#REF!</v>
      </c>
      <c r="AK315" t="e">
        <f t="shared" si="25"/>
        <v>#REF!</v>
      </c>
    </row>
    <row r="316" spans="1:37" x14ac:dyDescent="0.2">
      <c r="C316" s="368"/>
    </row>
    <row r="317" spans="1:37" x14ac:dyDescent="0.2">
      <c r="C317" s="368"/>
    </row>
  </sheetData>
  <autoFilter ref="A6:AS253"/>
  <mergeCells count="8">
    <mergeCell ref="AJ5:AJ6"/>
    <mergeCell ref="D5:D6"/>
    <mergeCell ref="A3:C3"/>
    <mergeCell ref="C5:C6"/>
    <mergeCell ref="F5:F6"/>
    <mergeCell ref="B5:B6"/>
    <mergeCell ref="A5:A6"/>
    <mergeCell ref="E5:E6"/>
  </mergeCells>
  <phoneticPr fontId="0" type="noConversion"/>
  <pageMargins left="1.27" right="0.23622047244094491" top="0.31496062992125984" bottom="0.23622047244094491" header="0.15748031496062992" footer="0.15748031496062992"/>
  <pageSetup paperSize="9" scale="63" fitToHeight="4" orientation="portrait" r:id="rId1"/>
  <headerFooter alignWithMargins="0"/>
  <rowBreaks count="1" manualBreakCount="1">
    <brk id="16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 filterMode="1">
    <tabColor rgb="FF00B0F0"/>
    <pageSetUpPr fitToPage="1"/>
  </sheetPr>
  <dimension ref="A1:N76"/>
  <sheetViews>
    <sheetView view="pageBreakPreview" topLeftCell="A16" zoomScale="70" zoomScaleNormal="75" zoomScaleSheetLayoutView="70" workbookViewId="0">
      <selection activeCell="E27" sqref="E27"/>
    </sheetView>
  </sheetViews>
  <sheetFormatPr defaultRowHeight="18.75" x14ac:dyDescent="0.3"/>
  <cols>
    <col min="1" max="1" width="11" style="5" customWidth="1"/>
    <col min="2" max="2" width="87.7109375" style="5" customWidth="1"/>
    <col min="3" max="3" width="19.140625" style="112" hidden="1" customWidth="1"/>
    <col min="4" max="4" width="19.42578125" style="250" hidden="1" customWidth="1"/>
    <col min="5" max="5" width="19.7109375" style="112" customWidth="1"/>
    <col min="6" max="6" width="15.85546875" style="250" customWidth="1"/>
    <col min="7" max="7" width="16.5703125" style="112" hidden="1" customWidth="1"/>
    <col min="8" max="8" width="12.5703125" style="250" hidden="1" customWidth="1"/>
    <col min="9" max="16384" width="9.140625" style="6"/>
  </cols>
  <sheetData>
    <row r="1" spans="1:14" x14ac:dyDescent="0.3">
      <c r="D1" s="448"/>
      <c r="E1" s="448"/>
      <c r="F1" s="448" t="s">
        <v>1458</v>
      </c>
    </row>
    <row r="2" spans="1:14" ht="39" hidden="1" customHeight="1" x14ac:dyDescent="0.2">
      <c r="A2" s="771" t="s">
        <v>104</v>
      </c>
      <c r="B2" s="771"/>
      <c r="C2" s="6"/>
      <c r="D2" s="6"/>
      <c r="E2" s="6"/>
      <c r="F2" s="6"/>
      <c r="G2" s="6"/>
      <c r="H2" s="6"/>
    </row>
    <row r="3" spans="1:14" x14ac:dyDescent="0.2">
      <c r="A3" s="7"/>
      <c r="B3" s="7"/>
      <c r="C3" s="449"/>
      <c r="E3" s="449"/>
      <c r="G3" s="449"/>
    </row>
    <row r="4" spans="1:14" ht="39.75" customHeight="1" x14ac:dyDescent="0.2">
      <c r="A4" s="771" t="s">
        <v>1847</v>
      </c>
      <c r="B4" s="771"/>
      <c r="C4" s="773"/>
      <c r="D4" s="773"/>
      <c r="E4" s="773"/>
      <c r="F4" s="773"/>
      <c r="G4" s="773"/>
      <c r="H4" s="773"/>
    </row>
    <row r="5" spans="1:14" ht="19.5" customHeight="1" x14ac:dyDescent="0.3">
      <c r="A5" s="8"/>
      <c r="B5" s="8"/>
      <c r="D5" s="464"/>
      <c r="F5" s="464"/>
      <c r="H5" s="464" t="s">
        <v>201</v>
      </c>
    </row>
    <row r="6" spans="1:14" ht="15.75" customHeight="1" x14ac:dyDescent="0.2">
      <c r="A6" s="770" t="s">
        <v>200</v>
      </c>
      <c r="B6" s="770" t="s">
        <v>105</v>
      </c>
      <c r="C6" s="772" t="s">
        <v>1987</v>
      </c>
      <c r="D6" s="775" t="s">
        <v>170</v>
      </c>
      <c r="E6" s="772" t="s">
        <v>1980</v>
      </c>
      <c r="F6" s="774" t="s">
        <v>170</v>
      </c>
      <c r="G6" s="772" t="s">
        <v>234</v>
      </c>
      <c r="H6" s="774" t="s">
        <v>170</v>
      </c>
    </row>
    <row r="7" spans="1:14" ht="39" customHeight="1" x14ac:dyDescent="0.2">
      <c r="A7" s="770"/>
      <c r="B7" s="770"/>
      <c r="C7" s="772"/>
      <c r="D7" s="776"/>
      <c r="E7" s="772"/>
      <c r="F7" s="774"/>
      <c r="G7" s="772"/>
      <c r="H7" s="774"/>
    </row>
    <row r="8" spans="1:14" x14ac:dyDescent="0.2">
      <c r="A8" s="9" t="s">
        <v>106</v>
      </c>
      <c r="B8" s="10" t="s">
        <v>156</v>
      </c>
      <c r="C8" s="11">
        <f t="shared" ref="C8:H8" si="0">C9+C10+C11+C12+C13+C16+C15+C14</f>
        <v>96292.826879999993</v>
      </c>
      <c r="D8" s="11">
        <f t="shared" si="0"/>
        <v>11.7</v>
      </c>
      <c r="E8" s="11">
        <f>E9+E10+E11+E12+E13+E16+E15+E14</f>
        <v>119074.48039000001</v>
      </c>
      <c r="F8" s="11">
        <f t="shared" si="0"/>
        <v>1388.2</v>
      </c>
      <c r="G8" s="11">
        <f t="shared" si="0"/>
        <v>22781.653510000015</v>
      </c>
      <c r="H8" s="11">
        <f t="shared" si="0"/>
        <v>1376.5</v>
      </c>
      <c r="L8" s="236">
        <f>C8/746607.6*100</f>
        <v>12.897381017819804</v>
      </c>
    </row>
    <row r="9" spans="1:14" ht="37.5" x14ac:dyDescent="0.2">
      <c r="A9" s="12" t="s">
        <v>107</v>
      </c>
      <c r="B9" s="17" t="s">
        <v>108</v>
      </c>
      <c r="C9" s="13">
        <f>'ведом 2024 пр.4'!G2407</f>
        <v>2052.473</v>
      </c>
      <c r="D9" s="13">
        <f>'ведом 2024 пр.4'!H2407</f>
        <v>0</v>
      </c>
      <c r="E9" s="702">
        <f>'ведом 2024 пр.4'!I2407</f>
        <v>2944.924</v>
      </c>
      <c r="F9" s="13">
        <f>'ведом 2024 пр.4'!J2407</f>
        <v>120</v>
      </c>
      <c r="G9" s="13">
        <f>'ведом 2024 пр.4'!K2407</f>
        <v>892.45100000000002</v>
      </c>
      <c r="H9" s="13">
        <f>'ведом 2024 пр.4'!L2407</f>
        <v>120</v>
      </c>
      <c r="J9" s="6">
        <f>G9/G8*100</f>
        <v>3.9174109974425622</v>
      </c>
      <c r="L9" s="236">
        <f t="shared" ref="L9:L16" si="1">C9/746607.6*100</f>
        <v>0.27490652385536929</v>
      </c>
      <c r="N9" s="236">
        <f>C9/52761.8*100</f>
        <v>3.8900738792080634</v>
      </c>
    </row>
    <row r="10" spans="1:14" ht="59.25" customHeight="1" x14ac:dyDescent="0.2">
      <c r="A10" s="14" t="s">
        <v>109</v>
      </c>
      <c r="B10" s="18" t="s">
        <v>110</v>
      </c>
      <c r="C10" s="13">
        <f>'ведом 2024 пр.4'!G2408</f>
        <v>2569.2437899999995</v>
      </c>
      <c r="D10" s="13">
        <f>'ведом 2024 пр.4'!H2408</f>
        <v>0</v>
      </c>
      <c r="E10" s="702">
        <f>'ведом 2024 пр.4'!I2408</f>
        <v>3702.7987899999998</v>
      </c>
      <c r="F10" s="13">
        <f>'ведом 2024 пр.4'!J2408</f>
        <v>62.400000000000006</v>
      </c>
      <c r="G10" s="13">
        <f>'ведом 2024 пр.4'!K2408</f>
        <v>1133.5550000000003</v>
      </c>
      <c r="H10" s="13">
        <f>'ведом 2024 пр.4'!L2408</f>
        <v>62.400000000000006</v>
      </c>
      <c r="J10" s="6">
        <f>G10/G8*100</f>
        <v>4.9757362849120055</v>
      </c>
      <c r="L10" s="236">
        <f t="shared" si="1"/>
        <v>0.34412237298414849</v>
      </c>
      <c r="N10" s="236">
        <f t="shared" ref="N10:N16" si="2">C10/52761.8*100</f>
        <v>4.8695150468710304</v>
      </c>
    </row>
    <row r="11" spans="1:14" ht="60.75" customHeight="1" x14ac:dyDescent="0.2">
      <c r="A11" s="16" t="s">
        <v>111</v>
      </c>
      <c r="B11" s="27" t="s">
        <v>471</v>
      </c>
      <c r="C11" s="13">
        <f>'ведом 2024 пр.4'!G2409</f>
        <v>15577.790410000001</v>
      </c>
      <c r="D11" s="13">
        <f>'ведом 2024 пр.4'!H2409</f>
        <v>0</v>
      </c>
      <c r="E11" s="702">
        <f>'ведом 2024 пр.4'!I2409</f>
        <v>19903.375870000003</v>
      </c>
      <c r="F11" s="13">
        <f>'ведом 2024 пр.4'!J2409</f>
        <v>461.6</v>
      </c>
      <c r="G11" s="13">
        <f>'ведом 2024 пр.4'!K2409</f>
        <v>4325.5854600000021</v>
      </c>
      <c r="H11" s="13">
        <f>'ведом 2024 пр.4'!L2409</f>
        <v>461.6</v>
      </c>
      <c r="J11" s="6">
        <f>G11/G8*100</f>
        <v>18.987144449814782</v>
      </c>
      <c r="L11" s="236">
        <f t="shared" si="1"/>
        <v>2.0864762708014224</v>
      </c>
      <c r="N11" s="236">
        <f t="shared" si="2"/>
        <v>29.524751638496031</v>
      </c>
    </row>
    <row r="12" spans="1:14" ht="21" customHeight="1" x14ac:dyDescent="0.2">
      <c r="A12" s="16" t="s">
        <v>472</v>
      </c>
      <c r="B12" s="27" t="s">
        <v>96</v>
      </c>
      <c r="C12" s="13">
        <f>'ведом 2024 пр.4'!G2410</f>
        <v>11.7</v>
      </c>
      <c r="D12" s="13">
        <f>'ведом 2024 пр.4'!H2410</f>
        <v>11.7</v>
      </c>
      <c r="E12" s="702">
        <f>'ведом 2024 пр.4'!I2410</f>
        <v>11.7</v>
      </c>
      <c r="F12" s="13">
        <f>'ведом 2024 пр.4'!J2410</f>
        <v>11.7</v>
      </c>
      <c r="G12" s="13">
        <f>'ведом 2024 пр.4'!K2410</f>
        <v>0</v>
      </c>
      <c r="H12" s="13">
        <f>'ведом 2024 пр.4'!L2410</f>
        <v>0</v>
      </c>
      <c r="J12" s="6">
        <f>G12/G8*100</f>
        <v>0</v>
      </c>
      <c r="L12" s="236">
        <f t="shared" si="1"/>
        <v>1.5670882535886322E-3</v>
      </c>
      <c r="N12" s="236">
        <f t="shared" si="2"/>
        <v>2.2175134282757598E-2</v>
      </c>
    </row>
    <row r="13" spans="1:14" ht="37.5" customHeight="1" x14ac:dyDescent="0.2">
      <c r="A13" s="14" t="s">
        <v>473</v>
      </c>
      <c r="B13" s="18" t="s">
        <v>458</v>
      </c>
      <c r="C13" s="13">
        <f>'ведом 2024 пр.4'!G2411</f>
        <v>13454.958410000001</v>
      </c>
      <c r="D13" s="13">
        <f>'ведом 2024 пр.4'!H2411</f>
        <v>0</v>
      </c>
      <c r="E13" s="702">
        <f>'ведом 2024 пр.4'!I2411</f>
        <v>17091.464640000002</v>
      </c>
      <c r="F13" s="13">
        <f>'ведом 2024 пр.4'!J2411</f>
        <v>173</v>
      </c>
      <c r="G13" s="13">
        <f>'ведом 2024 пр.4'!K2411</f>
        <v>3636.50623</v>
      </c>
      <c r="H13" s="13">
        <f>'ведом 2024 пр.4'!L2411</f>
        <v>173</v>
      </c>
      <c r="J13" s="6">
        <f>G13/G8*100</f>
        <v>15.962433229018053</v>
      </c>
      <c r="L13" s="236">
        <f t="shared" si="1"/>
        <v>1.8021459210969728</v>
      </c>
      <c r="N13" s="236">
        <f t="shared" si="2"/>
        <v>25.501325599202453</v>
      </c>
    </row>
    <row r="14" spans="1:14" ht="23.25" customHeight="1" x14ac:dyDescent="0.2">
      <c r="A14" s="16" t="s">
        <v>474</v>
      </c>
      <c r="B14" s="18" t="s">
        <v>97</v>
      </c>
      <c r="C14" s="13">
        <f>'ведом 2024 пр.4'!G2412</f>
        <v>654.73</v>
      </c>
      <c r="D14" s="13">
        <f>'ведом 2024 пр.4'!H2412</f>
        <v>0</v>
      </c>
      <c r="E14" s="702">
        <f>'ведом 2024 пр.4'!I2412</f>
        <v>654.73</v>
      </c>
      <c r="F14" s="13">
        <f>'ведом 2024 пр.4'!J2412</f>
        <v>0</v>
      </c>
      <c r="G14" s="13">
        <f>'ведом 2024 пр.4'!K2412</f>
        <v>0</v>
      </c>
      <c r="H14" s="13">
        <f>'ведом 2024 пр.4'!L2412</f>
        <v>0</v>
      </c>
      <c r="L14" s="236">
        <f t="shared" si="1"/>
        <v>8.769399079248591E-2</v>
      </c>
      <c r="N14" s="236">
        <f t="shared" si="2"/>
        <v>1.2409167238418704</v>
      </c>
    </row>
    <row r="15" spans="1:14" ht="21" customHeight="1" x14ac:dyDescent="0.2">
      <c r="A15" s="16" t="s">
        <v>475</v>
      </c>
      <c r="B15" s="18" t="s">
        <v>211</v>
      </c>
      <c r="C15" s="13">
        <f>'ведом 2024 пр.4'!G2413</f>
        <v>1829.95</v>
      </c>
      <c r="D15" s="13">
        <f>'ведом 2024 пр.4'!H2413</f>
        <v>0</v>
      </c>
      <c r="E15" s="702">
        <f>'ведом 2024 пр.4'!I2413</f>
        <v>1885.35</v>
      </c>
      <c r="F15" s="13">
        <f>'ведом 2024 пр.4'!J2413</f>
        <v>0</v>
      </c>
      <c r="G15" s="13">
        <f>'ведом 2024 пр.4'!K2413</f>
        <v>55.400000000000034</v>
      </c>
      <c r="H15" s="13">
        <f>'ведом 2024 пр.4'!L2413</f>
        <v>0</v>
      </c>
      <c r="L15" s="236">
        <f t="shared" si="1"/>
        <v>0.24510197860295019</v>
      </c>
      <c r="N15" s="236">
        <f t="shared" si="2"/>
        <v>3.4683236735668608</v>
      </c>
    </row>
    <row r="16" spans="1:14" ht="21.75" customHeight="1" x14ac:dyDescent="0.2">
      <c r="A16" s="16" t="s">
        <v>265</v>
      </c>
      <c r="B16" s="18" t="s">
        <v>210</v>
      </c>
      <c r="C16" s="13">
        <f>'ведом 2024 пр.4'!G2414</f>
        <v>60141.981269999997</v>
      </c>
      <c r="D16" s="13">
        <f>'ведом 2024 пр.4'!H2414</f>
        <v>0</v>
      </c>
      <c r="E16" s="702">
        <f>'ведом 2024 пр.4'!I2414</f>
        <v>72880.137090000004</v>
      </c>
      <c r="F16" s="13">
        <f>'ведом 2024 пр.4'!J2414</f>
        <v>559.5</v>
      </c>
      <c r="G16" s="13">
        <f>'ведом 2024 пр.4'!K2414</f>
        <v>12738.155820000011</v>
      </c>
      <c r="H16" s="13">
        <f>'ведом 2024 пр.4'!L2414</f>
        <v>559.5</v>
      </c>
      <c r="J16" s="6">
        <f>G16/G8*100</f>
        <v>55.91409690437348</v>
      </c>
      <c r="L16" s="236">
        <f t="shared" si="1"/>
        <v>8.0553668714328648</v>
      </c>
      <c r="N16" s="236">
        <f t="shared" si="2"/>
        <v>113.98773595669593</v>
      </c>
    </row>
    <row r="17" spans="1:12" ht="20.25" hidden="1" customHeight="1" x14ac:dyDescent="0.2">
      <c r="A17" s="9" t="s">
        <v>476</v>
      </c>
      <c r="B17" s="10" t="s">
        <v>477</v>
      </c>
      <c r="C17" s="71">
        <f>SUM(C18:C21)</f>
        <v>0</v>
      </c>
      <c r="D17" s="71">
        <f>SUM(D18:D21)</f>
        <v>0</v>
      </c>
      <c r="E17" s="71">
        <f>SUM(E18:E21)</f>
        <v>0</v>
      </c>
      <c r="F17" s="71">
        <f>SUM(F18:F21)</f>
        <v>0</v>
      </c>
      <c r="G17" s="13">
        <f>E17-C17</f>
        <v>0</v>
      </c>
      <c r="H17" s="13">
        <f>F17-D17</f>
        <v>0</v>
      </c>
    </row>
    <row r="18" spans="1:12" ht="20.25" hidden="1" customHeight="1" x14ac:dyDescent="0.2">
      <c r="A18" s="16" t="s">
        <v>478</v>
      </c>
      <c r="B18" s="17" t="s">
        <v>285</v>
      </c>
      <c r="C18" s="72">
        <v>0</v>
      </c>
      <c r="D18" s="72">
        <v>0</v>
      </c>
      <c r="E18" s="72">
        <v>0</v>
      </c>
      <c r="F18" s="72">
        <v>0</v>
      </c>
      <c r="G18" s="13">
        <f>E18-C18</f>
        <v>0</v>
      </c>
      <c r="H18" s="13">
        <f>F18-D18</f>
        <v>0</v>
      </c>
    </row>
    <row r="19" spans="1:12" ht="18.75" hidden="1" customHeight="1" x14ac:dyDescent="0.2">
      <c r="A19" s="14" t="s">
        <v>479</v>
      </c>
      <c r="B19" s="18" t="s">
        <v>480</v>
      </c>
      <c r="C19" s="73">
        <f>'ведом 2024 пр.4'!G2417</f>
        <v>0</v>
      </c>
      <c r="D19" s="73">
        <f>'ведом 2024 пр.4'!H2417</f>
        <v>0</v>
      </c>
      <c r="E19" s="73">
        <f>'ведом 2024 пр.4'!I2417</f>
        <v>0</v>
      </c>
      <c r="F19" s="73">
        <f>'ведом 2024 пр.4'!J2417</f>
        <v>0</v>
      </c>
      <c r="G19" s="73">
        <f>'ведом 2024 пр.4'!K2417</f>
        <v>0</v>
      </c>
      <c r="H19" s="73">
        <f>'ведом 2024 пр.4'!L2417</f>
        <v>0</v>
      </c>
    </row>
    <row r="20" spans="1:12" ht="18.75" hidden="1" customHeight="1" x14ac:dyDescent="0.2">
      <c r="A20" s="12" t="s">
        <v>481</v>
      </c>
      <c r="B20" s="17" t="s">
        <v>482</v>
      </c>
      <c r="C20" s="74"/>
      <c r="D20" s="74"/>
      <c r="E20" s="74"/>
      <c r="F20" s="74"/>
      <c r="G20" s="13">
        <f>E20-C20</f>
        <v>0</v>
      </c>
      <c r="H20" s="13">
        <f>F20-D20</f>
        <v>0</v>
      </c>
    </row>
    <row r="21" spans="1:12" s="22" customFormat="1" ht="18.75" hidden="1" customHeight="1" x14ac:dyDescent="0.2">
      <c r="A21" s="19" t="s">
        <v>483</v>
      </c>
      <c r="B21" s="20" t="s">
        <v>484</v>
      </c>
      <c r="C21" s="75"/>
      <c r="D21" s="75"/>
      <c r="E21" s="75"/>
      <c r="F21" s="75"/>
      <c r="G21" s="13">
        <f>E21-C21</f>
        <v>0</v>
      </c>
      <c r="H21" s="13">
        <f>F21-D21</f>
        <v>0</v>
      </c>
    </row>
    <row r="22" spans="1:12" ht="20.25" customHeight="1" x14ac:dyDescent="0.2">
      <c r="A22" s="9" t="s">
        <v>485</v>
      </c>
      <c r="B22" s="10" t="s">
        <v>601</v>
      </c>
      <c r="C22" s="11">
        <f t="shared" ref="C22:H22" si="3">C24+C27+C25+C28+C23+C26</f>
        <v>345621.48355999996</v>
      </c>
      <c r="D22" s="11">
        <f t="shared" si="3"/>
        <v>261127.76642999999</v>
      </c>
      <c r="E22" s="11">
        <f t="shared" si="3"/>
        <v>371393.68135999999</v>
      </c>
      <c r="F22" s="11">
        <f t="shared" si="3"/>
        <v>261196.50683</v>
      </c>
      <c r="G22" s="11">
        <f t="shared" si="3"/>
        <v>25772.197799999998</v>
      </c>
      <c r="H22" s="11">
        <f t="shared" si="3"/>
        <v>68.740399999999994</v>
      </c>
      <c r="L22" s="236">
        <f t="shared" ref="L22:L31" si="4">C22/746607.6*100</f>
        <v>46.292253596132696</v>
      </c>
    </row>
    <row r="23" spans="1:12" ht="0.75" customHeight="1" x14ac:dyDescent="0.2">
      <c r="A23" s="14" t="s">
        <v>787</v>
      </c>
      <c r="B23" s="18" t="s">
        <v>785</v>
      </c>
      <c r="C23" s="21">
        <f>'ведом 2024 пр.4'!G2419</f>
        <v>0</v>
      </c>
      <c r="D23" s="21">
        <f>'ведом 2024 пр.4'!H2419</f>
        <v>0</v>
      </c>
      <c r="E23" s="21">
        <f>'ведом 2024 пр.4'!I2419</f>
        <v>0</v>
      </c>
      <c r="F23" s="21">
        <f>'ведом 2024 пр.4'!J2419</f>
        <v>0</v>
      </c>
      <c r="G23" s="21">
        <f>'ведом 2024 пр.4'!K2419</f>
        <v>0</v>
      </c>
      <c r="H23" s="21">
        <f>'ведом 2024 пр.4'!L2419</f>
        <v>0</v>
      </c>
      <c r="L23" s="236">
        <f t="shared" si="4"/>
        <v>0</v>
      </c>
    </row>
    <row r="24" spans="1:12" x14ac:dyDescent="0.2">
      <c r="A24" s="14" t="s">
        <v>486</v>
      </c>
      <c r="B24" s="18" t="s">
        <v>603</v>
      </c>
      <c r="C24" s="21">
        <f>'ведом 2024 пр.4'!G2420</f>
        <v>10188.925379999999</v>
      </c>
      <c r="D24" s="21">
        <f>'ведом 2024 пр.4'!H2420</f>
        <v>158.97552999999999</v>
      </c>
      <c r="E24" s="703">
        <f>'ведом 2024 пр.4'!I2420</f>
        <v>11518.26072</v>
      </c>
      <c r="F24" s="21">
        <f>'ведом 2024 пр.4'!J2420</f>
        <v>227.71592999999999</v>
      </c>
      <c r="G24" s="21">
        <f>'ведом 2024 пр.4'!K2420</f>
        <v>1329.3353400000001</v>
      </c>
      <c r="H24" s="21">
        <f>'ведом 2024 пр.4'!L2420</f>
        <v>68.740399999999994</v>
      </c>
      <c r="L24" s="236">
        <f t="shared" si="4"/>
        <v>1.3646961777512041</v>
      </c>
    </row>
    <row r="25" spans="1:12" ht="18" customHeight="1" x14ac:dyDescent="0.2">
      <c r="A25" s="14" t="s">
        <v>487</v>
      </c>
      <c r="B25" s="17" t="s">
        <v>196</v>
      </c>
      <c r="C25" s="15">
        <f>'ведом 2024 пр.4'!G2421</f>
        <v>4190.9888199999996</v>
      </c>
      <c r="D25" s="15">
        <f>'ведом 2024 пр.4'!H2421</f>
        <v>0</v>
      </c>
      <c r="E25" s="704">
        <f>'ведом 2024 пр.4'!I2421</f>
        <v>6274.1988000000001</v>
      </c>
      <c r="F25" s="15">
        <f>'ведом 2024 пр.4'!J2421</f>
        <v>0</v>
      </c>
      <c r="G25" s="15">
        <f>'ведом 2024 пр.4'!K2421</f>
        <v>2083.2099800000005</v>
      </c>
      <c r="H25" s="15">
        <f>'ведом 2024 пр.4'!L2421</f>
        <v>0</v>
      </c>
      <c r="L25" s="236">
        <f t="shared" si="4"/>
        <v>0.56133755134557961</v>
      </c>
    </row>
    <row r="26" spans="1:12" ht="20.25" customHeight="1" x14ac:dyDescent="0.2">
      <c r="A26" s="14" t="s">
        <v>1074</v>
      </c>
      <c r="B26" s="17" t="s">
        <v>1072</v>
      </c>
      <c r="C26" s="15">
        <f>'ведом 2024 пр.4'!G2422</f>
        <v>360</v>
      </c>
      <c r="D26" s="15">
        <f>'ведом 2024 пр.4'!H2422</f>
        <v>0</v>
      </c>
      <c r="E26" s="704">
        <f>'ведом 2024 пр.4'!I2422</f>
        <v>360</v>
      </c>
      <c r="F26" s="15">
        <f>'ведом 2024 пр.4'!J2422</f>
        <v>0</v>
      </c>
      <c r="G26" s="15">
        <f>'ведом 2024 пр.4'!K2422</f>
        <v>0</v>
      </c>
      <c r="H26" s="15">
        <f>'ведом 2024 пр.4'!L2422</f>
        <v>0</v>
      </c>
      <c r="L26" s="236"/>
    </row>
    <row r="27" spans="1:12" x14ac:dyDescent="0.2">
      <c r="A27" s="14" t="s">
        <v>488</v>
      </c>
      <c r="B27" s="18" t="s">
        <v>259</v>
      </c>
      <c r="C27" s="15">
        <f>'ведом 2024 пр.4'!G2423</f>
        <v>325239.90999999997</v>
      </c>
      <c r="D27" s="15">
        <f>'ведом 2024 пр.4'!H2423</f>
        <v>260968.79089999999</v>
      </c>
      <c r="E27" s="704">
        <f>'ведом 2024 пр.4'!I2423</f>
        <v>346962.96947999997</v>
      </c>
      <c r="F27" s="15">
        <f>'ведом 2024 пр.4'!J2423</f>
        <v>260968.79089999999</v>
      </c>
      <c r="G27" s="15">
        <f>'ведом 2024 пр.4'!K2423</f>
        <v>21723.059479999996</v>
      </c>
      <c r="H27" s="15">
        <f>'ведом 2024 пр.4'!L2423</f>
        <v>0</v>
      </c>
      <c r="L27" s="236">
        <f t="shared" si="4"/>
        <v>43.562362611899474</v>
      </c>
    </row>
    <row r="28" spans="1:12" ht="23.25" customHeight="1" x14ac:dyDescent="0.2">
      <c r="A28" s="16" t="s">
        <v>489</v>
      </c>
      <c r="B28" s="23" t="s">
        <v>282</v>
      </c>
      <c r="C28" s="15">
        <f>'ведом 2024 пр.4'!G2424</f>
        <v>5641.6593599999997</v>
      </c>
      <c r="D28" s="15">
        <f>'ведом 2024 пр.4'!H2424</f>
        <v>0</v>
      </c>
      <c r="E28" s="704">
        <f>'ведом 2024 пр.4'!I2424</f>
        <v>6278.2523600000004</v>
      </c>
      <c r="F28" s="15">
        <f>'ведом 2024 пр.4'!J2424</f>
        <v>0</v>
      </c>
      <c r="G28" s="15">
        <f>'ведом 2024 пр.4'!K2424</f>
        <v>636.59300000000007</v>
      </c>
      <c r="H28" s="15">
        <f>'ведом 2024 пр.4'!L2424</f>
        <v>0</v>
      </c>
      <c r="L28" s="236">
        <f t="shared" si="4"/>
        <v>0.75563915502601364</v>
      </c>
    </row>
    <row r="29" spans="1:12" ht="21" customHeight="1" x14ac:dyDescent="0.2">
      <c r="A29" s="9" t="s">
        <v>490</v>
      </c>
      <c r="B29" s="10" t="s">
        <v>255</v>
      </c>
      <c r="C29" s="11">
        <f t="shared" ref="C29:H29" si="5">C31+C30+C32+C33</f>
        <v>239480.85558000003</v>
      </c>
      <c r="D29" s="11">
        <f t="shared" si="5"/>
        <v>161280.79587</v>
      </c>
      <c r="E29" s="11">
        <f t="shared" si="5"/>
        <v>319945.12773000001</v>
      </c>
      <c r="F29" s="11">
        <f t="shared" si="5"/>
        <v>161280.79587</v>
      </c>
      <c r="G29" s="11">
        <f t="shared" si="5"/>
        <v>80464.272150000004</v>
      </c>
      <c r="H29" s="11">
        <f t="shared" si="5"/>
        <v>0</v>
      </c>
      <c r="L29" s="236">
        <f t="shared" si="4"/>
        <v>32.075866302459289</v>
      </c>
    </row>
    <row r="30" spans="1:12" ht="20.25" customHeight="1" x14ac:dyDescent="0.2">
      <c r="A30" s="14" t="s">
        <v>491</v>
      </c>
      <c r="B30" s="18" t="s">
        <v>188</v>
      </c>
      <c r="C30" s="109">
        <f>'ведом 2024 пр.4'!G2426</f>
        <v>53034.696000000004</v>
      </c>
      <c r="D30" s="109">
        <f>'ведом 2024 пр.4'!H2426</f>
        <v>49306.6</v>
      </c>
      <c r="E30" s="705">
        <f>'ведом 2024 пр.4'!I2426</f>
        <v>53034.696000000004</v>
      </c>
      <c r="F30" s="109">
        <f>'ведом 2024 пр.4'!J2426</f>
        <v>49306.6</v>
      </c>
      <c r="G30" s="109">
        <f>'ведом 2024 пр.4'!K2426</f>
        <v>0</v>
      </c>
      <c r="H30" s="109">
        <f>'ведом 2024 пр.4'!L2426</f>
        <v>0</v>
      </c>
      <c r="L30" s="236">
        <f t="shared" si="4"/>
        <v>7.1034230029268395</v>
      </c>
    </row>
    <row r="31" spans="1:12" s="22" customFormat="1" ht="21" customHeight="1" x14ac:dyDescent="0.2">
      <c r="A31" s="24" t="s">
        <v>492</v>
      </c>
      <c r="B31" s="69" t="s">
        <v>256</v>
      </c>
      <c r="C31" s="15">
        <f>'ведом 2024 пр.4'!G2427</f>
        <v>123851.77972000001</v>
      </c>
      <c r="D31" s="15">
        <f>'ведом 2024 пр.4'!H2427</f>
        <v>52537.1</v>
      </c>
      <c r="E31" s="704">
        <f>'ведом 2024 пр.4'!I2427</f>
        <v>204339.66157</v>
      </c>
      <c r="F31" s="15">
        <f>'ведом 2024 пр.4'!J2427</f>
        <v>52537.1</v>
      </c>
      <c r="G31" s="15">
        <f>'ведом 2024 пр.4'!K2427</f>
        <v>80487.881850000005</v>
      </c>
      <c r="H31" s="15">
        <f>'ведом 2024 пр.4'!L2427</f>
        <v>0</v>
      </c>
      <c r="L31" s="236">
        <f t="shared" si="4"/>
        <v>16.588604203868272</v>
      </c>
    </row>
    <row r="32" spans="1:12" s="22" customFormat="1" ht="18" customHeight="1" x14ac:dyDescent="0.2">
      <c r="A32" s="24" t="s">
        <v>493</v>
      </c>
      <c r="B32" s="69" t="s">
        <v>153</v>
      </c>
      <c r="C32" s="15">
        <f>'ведом 2024 пр.4'!G2428</f>
        <v>62594.379860000001</v>
      </c>
      <c r="D32" s="15">
        <f>'ведом 2024 пр.4'!H2428</f>
        <v>59437.095869999997</v>
      </c>
      <c r="E32" s="704">
        <f>'ведом 2024 пр.4'!I2428</f>
        <v>62570.77016</v>
      </c>
      <c r="F32" s="15">
        <f>'ведом 2024 пр.4'!J2428</f>
        <v>59437.095869999997</v>
      </c>
      <c r="G32" s="15">
        <f>'ведом 2024 пр.4'!K2428</f>
        <v>-23.609699999999975</v>
      </c>
      <c r="H32" s="15">
        <f>'ведом 2024 пр.4'!L2428</f>
        <v>0</v>
      </c>
    </row>
    <row r="33" spans="1:12" s="22" customFormat="1" ht="18" hidden="1" customHeight="1" x14ac:dyDescent="0.2">
      <c r="A33" s="24" t="s">
        <v>305</v>
      </c>
      <c r="B33" s="69" t="s">
        <v>304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12" s="22" customFormat="1" ht="18" customHeight="1" x14ac:dyDescent="0.2">
      <c r="A34" s="9" t="s">
        <v>494</v>
      </c>
      <c r="B34" s="10" t="s">
        <v>154</v>
      </c>
      <c r="C34" s="11">
        <f t="shared" ref="C34:H34" si="6">C35</f>
        <v>4186.8899999999994</v>
      </c>
      <c r="D34" s="11">
        <f t="shared" si="6"/>
        <v>0</v>
      </c>
      <c r="E34" s="11">
        <f t="shared" si="6"/>
        <v>4556.3899999999994</v>
      </c>
      <c r="F34" s="11">
        <f t="shared" si="6"/>
        <v>0</v>
      </c>
      <c r="G34" s="11">
        <f t="shared" si="6"/>
        <v>369.5</v>
      </c>
      <c r="H34" s="11">
        <f t="shared" si="6"/>
        <v>0</v>
      </c>
    </row>
    <row r="35" spans="1:12" s="22" customFormat="1" ht="18.75" customHeight="1" x14ac:dyDescent="0.2">
      <c r="A35" s="24" t="s">
        <v>1114</v>
      </c>
      <c r="B35" s="69" t="s">
        <v>1105</v>
      </c>
      <c r="C35" s="261">
        <f>'ведом 2024 пр.4'!G2431</f>
        <v>4186.8899999999994</v>
      </c>
      <c r="D35" s="261">
        <f>'ведом 2024 пр.4'!H2431</f>
        <v>0</v>
      </c>
      <c r="E35" s="706">
        <f>'ведом 2024 пр.4'!I2431</f>
        <v>4556.3899999999994</v>
      </c>
      <c r="F35" s="261">
        <f>'ведом 2024 пр.4'!J2431</f>
        <v>0</v>
      </c>
      <c r="G35" s="261">
        <f>'ведом 2024 пр.4'!K2431</f>
        <v>369.5</v>
      </c>
      <c r="H35" s="261">
        <f>'ведом 2024 пр.4'!L2431</f>
        <v>0</v>
      </c>
    </row>
    <row r="36" spans="1:12" ht="18" customHeight="1" x14ac:dyDescent="0.2">
      <c r="A36" s="9" t="s">
        <v>495</v>
      </c>
      <c r="B36" s="10" t="s">
        <v>286</v>
      </c>
      <c r="C36" s="25">
        <f t="shared" ref="C36:H36" si="7">C38+C41+C42+C37+C39+C40</f>
        <v>1058143.6719999998</v>
      </c>
      <c r="D36" s="25">
        <f t="shared" si="7"/>
        <v>128057.68699999999</v>
      </c>
      <c r="E36" s="25">
        <f t="shared" si="7"/>
        <v>1171512.69438</v>
      </c>
      <c r="F36" s="25">
        <f t="shared" si="7"/>
        <v>150813.587</v>
      </c>
      <c r="G36" s="25">
        <f t="shared" si="7"/>
        <v>113369.02238000008</v>
      </c>
      <c r="H36" s="25">
        <f t="shared" si="7"/>
        <v>22755.900000000009</v>
      </c>
      <c r="L36" s="236">
        <f t="shared" ref="L36:L45" si="8">C36/746607.6*100</f>
        <v>141.72688196584119</v>
      </c>
    </row>
    <row r="37" spans="1:12" x14ac:dyDescent="0.2">
      <c r="A37" s="26" t="s">
        <v>496</v>
      </c>
      <c r="B37" s="17" t="s">
        <v>137</v>
      </c>
      <c r="C37" s="15">
        <f>'ведом 2024 пр.4'!G2433</f>
        <v>234786.38243999999</v>
      </c>
      <c r="D37" s="15">
        <f>'ведом 2024 пр.4'!H2433</f>
        <v>20622.8</v>
      </c>
      <c r="E37" s="704">
        <f>'ведом 2024 пр.4'!I2433</f>
        <v>263188.47275000002</v>
      </c>
      <c r="F37" s="15">
        <f>'ведом 2024 пр.4'!J2433</f>
        <v>20622.8</v>
      </c>
      <c r="G37" s="15">
        <f>'ведом 2024 пр.4'!K2433</f>
        <v>28402.090310000029</v>
      </c>
      <c r="H37" s="15">
        <f>'ведом 2024 пр.4'!L2433</f>
        <v>0</v>
      </c>
      <c r="L37" s="236">
        <f t="shared" si="8"/>
        <v>31.447092480708744</v>
      </c>
    </row>
    <row r="38" spans="1:12" x14ac:dyDescent="0.2">
      <c r="A38" s="14" t="s">
        <v>497</v>
      </c>
      <c r="B38" s="17" t="s">
        <v>284</v>
      </c>
      <c r="C38" s="15">
        <f>'ведом 2024 пр.4'!G2434</f>
        <v>678556.15825999994</v>
      </c>
      <c r="D38" s="15">
        <f>'ведом 2024 пр.4'!H2434</f>
        <v>107434.88699999999</v>
      </c>
      <c r="E38" s="704">
        <f>'ведом 2024 пр.4'!I2434</f>
        <v>725279.13052000001</v>
      </c>
      <c r="F38" s="15">
        <f>'ведом 2024 пр.4'!J2434</f>
        <v>130112.787</v>
      </c>
      <c r="G38" s="15">
        <f>'ведом 2024 пр.4'!K2434</f>
        <v>46722.972260000068</v>
      </c>
      <c r="H38" s="15">
        <f>'ведом 2024 пр.4'!L2434</f>
        <v>22677.900000000009</v>
      </c>
      <c r="L38" s="236">
        <f t="shared" si="8"/>
        <v>90.885246582006403</v>
      </c>
    </row>
    <row r="39" spans="1:12" x14ac:dyDescent="0.2">
      <c r="A39" s="16" t="s">
        <v>597</v>
      </c>
      <c r="B39" s="17" t="s">
        <v>596</v>
      </c>
      <c r="C39" s="72">
        <f>'ведом 2024 пр.4'!G2435</f>
        <v>66846.764220000012</v>
      </c>
      <c r="D39" s="72">
        <f>'ведом 2024 пр.4'!H2435</f>
        <v>0</v>
      </c>
      <c r="E39" s="707">
        <f>'ведом 2024 пр.4'!I2435</f>
        <v>82797.77926000001</v>
      </c>
      <c r="F39" s="72">
        <f>'ведом 2024 пр.4'!J2435</f>
        <v>0</v>
      </c>
      <c r="G39" s="72">
        <f>'ведом 2024 пр.4'!K2435</f>
        <v>15951.015040000002</v>
      </c>
      <c r="H39" s="72">
        <f>'ведом 2024 пр.4'!L2435</f>
        <v>0</v>
      </c>
      <c r="L39" s="236">
        <f t="shared" si="8"/>
        <v>8.9533999144932377</v>
      </c>
    </row>
    <row r="40" spans="1:12" ht="20.25" customHeight="1" x14ac:dyDescent="0.2">
      <c r="A40" s="16" t="s">
        <v>761</v>
      </c>
      <c r="B40" s="17" t="s">
        <v>225</v>
      </c>
      <c r="C40" s="72">
        <f>'ведом 2024 пр.4'!G2436</f>
        <v>338</v>
      </c>
      <c r="D40" s="72">
        <f>'ведом 2024 пр.4'!H2436</f>
        <v>0</v>
      </c>
      <c r="E40" s="707">
        <f>'ведом 2024 пр.4'!I2436</f>
        <v>338</v>
      </c>
      <c r="F40" s="72">
        <f>'ведом 2024 пр.4'!J2436</f>
        <v>0</v>
      </c>
      <c r="G40" s="72">
        <f>'ведом 2024 пр.4'!K2436</f>
        <v>0</v>
      </c>
      <c r="H40" s="72">
        <f>'ведом 2024 пр.4'!L2436</f>
        <v>0</v>
      </c>
      <c r="L40" s="236">
        <f t="shared" si="8"/>
        <v>4.5271438437004929E-2</v>
      </c>
    </row>
    <row r="41" spans="1:12" x14ac:dyDescent="0.2">
      <c r="A41" s="16" t="s">
        <v>159</v>
      </c>
      <c r="B41" s="18" t="s">
        <v>654</v>
      </c>
      <c r="C41" s="15">
        <f>'ведом 2024 пр.4'!G2437</f>
        <v>7902.4</v>
      </c>
      <c r="D41" s="15">
        <f>'ведом 2024 пр.4'!H2437</f>
        <v>0</v>
      </c>
      <c r="E41" s="704">
        <f>'ведом 2024 пр.4'!I2437</f>
        <v>7893.0776500000002</v>
      </c>
      <c r="F41" s="15">
        <f>'ведом 2024 пр.4'!J2437</f>
        <v>0</v>
      </c>
      <c r="G41" s="15">
        <f>'ведом 2024 пр.4'!K2437</f>
        <v>-9.3223499999994601</v>
      </c>
      <c r="H41" s="15">
        <f>'ведом 2024 пр.4'!L2437</f>
        <v>0</v>
      </c>
      <c r="L41" s="236">
        <f t="shared" si="8"/>
        <v>1.0584408730904964</v>
      </c>
    </row>
    <row r="42" spans="1:12" x14ac:dyDescent="0.2">
      <c r="A42" s="16" t="s">
        <v>160</v>
      </c>
      <c r="B42" s="18" t="s">
        <v>288</v>
      </c>
      <c r="C42" s="15">
        <f>'ведом 2024 пр.4'!G2438</f>
        <v>69713.967079999988</v>
      </c>
      <c r="D42" s="15">
        <f>'ведом 2024 пр.4'!H2438</f>
        <v>0</v>
      </c>
      <c r="E42" s="704">
        <f>'ведом 2024 пр.4'!I2438</f>
        <v>92016.234199999977</v>
      </c>
      <c r="F42" s="15">
        <f>'ведом 2024 пр.4'!J2438</f>
        <v>78</v>
      </c>
      <c r="G42" s="15">
        <f>'ведом 2024 пр.4'!K2438</f>
        <v>22302.26711999999</v>
      </c>
      <c r="H42" s="15">
        <f>'ведом 2024 пр.4'!L2438</f>
        <v>78</v>
      </c>
      <c r="L42" s="236">
        <f t="shared" si="8"/>
        <v>9.337430677105349</v>
      </c>
    </row>
    <row r="43" spans="1:12" x14ac:dyDescent="0.2">
      <c r="A43" s="9" t="s">
        <v>161</v>
      </c>
      <c r="B43" s="10" t="s">
        <v>624</v>
      </c>
      <c r="C43" s="11">
        <f t="shared" ref="C43:H43" si="9">C44+C45</f>
        <v>72450.396219999995</v>
      </c>
      <c r="D43" s="11">
        <f t="shared" si="9"/>
        <v>1239.0030099999999</v>
      </c>
      <c r="E43" s="11">
        <f t="shared" si="9"/>
        <v>91940.937589999987</v>
      </c>
      <c r="F43" s="11">
        <f t="shared" si="9"/>
        <v>1304.0030099999999</v>
      </c>
      <c r="G43" s="11">
        <f t="shared" si="9"/>
        <v>19490.541369999992</v>
      </c>
      <c r="H43" s="11">
        <f t="shared" si="9"/>
        <v>65</v>
      </c>
      <c r="L43" s="236">
        <f t="shared" si="8"/>
        <v>9.7039457165986533</v>
      </c>
    </row>
    <row r="44" spans="1:12" x14ac:dyDescent="0.2">
      <c r="A44" s="14" t="s">
        <v>300</v>
      </c>
      <c r="B44" s="17" t="s">
        <v>93</v>
      </c>
      <c r="C44" s="15">
        <f>'ведом 2024 пр.4'!G2440</f>
        <v>59819.035880000003</v>
      </c>
      <c r="D44" s="15">
        <f>'ведом 2024 пр.4'!H2440</f>
        <v>1239.0030099999999</v>
      </c>
      <c r="E44" s="704">
        <f>'ведом 2024 пр.4'!I2440</f>
        <v>73580.236619999996</v>
      </c>
      <c r="F44" s="15">
        <f>'ведом 2024 пр.4'!J2440</f>
        <v>1269.0030099999999</v>
      </c>
      <c r="G44" s="15">
        <f>'ведом 2024 пр.4'!K2440</f>
        <v>13761.200739999993</v>
      </c>
      <c r="H44" s="15">
        <f>'ведом 2024 пр.4'!L2440</f>
        <v>30</v>
      </c>
      <c r="L44" s="236">
        <f t="shared" si="8"/>
        <v>8.01211183491837</v>
      </c>
    </row>
    <row r="45" spans="1:12" ht="21.75" customHeight="1" x14ac:dyDescent="0.3">
      <c r="A45" s="16" t="s">
        <v>78</v>
      </c>
      <c r="B45" s="18" t="s">
        <v>625</v>
      </c>
      <c r="C45" s="28">
        <f>'ведом 2024 пр.4'!G2441</f>
        <v>12631.360339999999</v>
      </c>
      <c r="D45" s="28">
        <f>'ведом 2024 пр.4'!H2441</f>
        <v>0</v>
      </c>
      <c r="E45" s="708">
        <f>'ведом 2024 пр.4'!I2441</f>
        <v>18360.700969999998</v>
      </c>
      <c r="F45" s="28">
        <f>'ведом 2024 пр.4'!J2441</f>
        <v>35</v>
      </c>
      <c r="G45" s="28">
        <f>'ведом 2024 пр.4'!K2441</f>
        <v>5729.3406299999988</v>
      </c>
      <c r="H45" s="28">
        <f>'ведом 2024 пр.4'!L2441</f>
        <v>35</v>
      </c>
      <c r="L45" s="236">
        <f t="shared" si="8"/>
        <v>1.6918338816802829</v>
      </c>
    </row>
    <row r="46" spans="1:12" ht="19.5" customHeight="1" x14ac:dyDescent="0.2">
      <c r="A46" s="9" t="s">
        <v>79</v>
      </c>
      <c r="B46" s="10" t="s">
        <v>612</v>
      </c>
      <c r="C46" s="11">
        <f t="shared" ref="C46:H46" si="10">SUM(C47:C47)</f>
        <v>248.768</v>
      </c>
      <c r="D46" s="11">
        <f t="shared" si="10"/>
        <v>0</v>
      </c>
      <c r="E46" s="11">
        <f t="shared" si="10"/>
        <v>248.768</v>
      </c>
      <c r="F46" s="11">
        <f t="shared" si="10"/>
        <v>0</v>
      </c>
      <c r="G46" s="11">
        <f t="shared" si="10"/>
        <v>0</v>
      </c>
      <c r="H46" s="11">
        <f t="shared" si="10"/>
        <v>0</v>
      </c>
    </row>
    <row r="47" spans="1:12" ht="19.5" customHeight="1" x14ac:dyDescent="0.3">
      <c r="A47" s="16" t="s">
        <v>266</v>
      </c>
      <c r="B47" s="18" t="s">
        <v>6</v>
      </c>
      <c r="C47" s="28">
        <f>'ведом 2024 пр.4'!G2443</f>
        <v>248.768</v>
      </c>
      <c r="D47" s="28">
        <f>'ведом 2024 пр.4'!H2443</f>
        <v>0</v>
      </c>
      <c r="E47" s="708">
        <f>'ведом 2024 пр.4'!I2443</f>
        <v>248.768</v>
      </c>
      <c r="F47" s="28">
        <f>'ведом 2024 пр.4'!J2443</f>
        <v>0</v>
      </c>
      <c r="G47" s="13">
        <f>E47-C47</f>
        <v>0</v>
      </c>
      <c r="H47" s="13">
        <f>F47-D47</f>
        <v>0</v>
      </c>
    </row>
    <row r="48" spans="1:12" x14ac:dyDescent="0.2">
      <c r="A48" s="29">
        <v>1000</v>
      </c>
      <c r="B48" s="10" t="s">
        <v>121</v>
      </c>
      <c r="C48" s="11">
        <f t="shared" ref="C48:H48" si="11">SUM(C49:C53)</f>
        <v>15465.075000000001</v>
      </c>
      <c r="D48" s="11">
        <f t="shared" si="11"/>
        <v>592.6</v>
      </c>
      <c r="E48" s="11">
        <f t="shared" si="11"/>
        <v>18688.775000000001</v>
      </c>
      <c r="F48" s="11">
        <f t="shared" si="11"/>
        <v>592.6</v>
      </c>
      <c r="G48" s="11">
        <f t="shared" si="11"/>
        <v>3223.6999999999994</v>
      </c>
      <c r="H48" s="11">
        <f t="shared" si="11"/>
        <v>0</v>
      </c>
      <c r="L48" s="236">
        <f>C48/746607.6*100</f>
        <v>2.0713792626809586</v>
      </c>
    </row>
    <row r="49" spans="1:12" ht="21.75" customHeight="1" x14ac:dyDescent="0.3">
      <c r="A49" s="30">
        <v>1001</v>
      </c>
      <c r="B49" s="34" t="s">
        <v>122</v>
      </c>
      <c r="C49" s="28">
        <f>'ведом 2024 пр.4'!G2445</f>
        <v>4445.3999999999996</v>
      </c>
      <c r="D49" s="28">
        <f>'ведом 2024 пр.4'!H2445</f>
        <v>0</v>
      </c>
      <c r="E49" s="708">
        <f>'ведом 2024 пр.4'!I2445</f>
        <v>4644.5</v>
      </c>
      <c r="F49" s="28">
        <f>'ведом 2024 пр.4'!J2445</f>
        <v>0</v>
      </c>
      <c r="G49" s="28">
        <f>'ведом 2024 пр.4'!K2445</f>
        <v>199.10000000000036</v>
      </c>
      <c r="H49" s="28">
        <f>'ведом 2024 пр.4'!L2445</f>
        <v>0</v>
      </c>
      <c r="L49" s="236">
        <f>C49/746607.6*100</f>
        <v>0.59541317286349615</v>
      </c>
    </row>
    <row r="50" spans="1:12" ht="21.75" hidden="1" customHeight="1" x14ac:dyDescent="0.2">
      <c r="A50" s="31">
        <v>1002</v>
      </c>
      <c r="B50" s="18" t="s">
        <v>80</v>
      </c>
      <c r="C50" s="76"/>
      <c r="D50" s="76"/>
      <c r="E50" s="76"/>
      <c r="F50" s="76"/>
      <c r="G50" s="13">
        <f>E50-C50</f>
        <v>0</v>
      </c>
      <c r="H50" s="13">
        <f>F50-D50</f>
        <v>0</v>
      </c>
    </row>
    <row r="51" spans="1:12" ht="20.25" customHeight="1" x14ac:dyDescent="0.2">
      <c r="A51" s="32">
        <v>1003</v>
      </c>
      <c r="B51" s="18" t="s">
        <v>16</v>
      </c>
      <c r="C51" s="33">
        <f>'ведом 2024 пр.4'!G2446</f>
        <v>5446.2249999999995</v>
      </c>
      <c r="D51" s="33">
        <f>'ведом 2024 пр.4'!H2446</f>
        <v>0</v>
      </c>
      <c r="E51" s="709">
        <f>'ведом 2024 пр.4'!I2446</f>
        <v>6390.8249999999998</v>
      </c>
      <c r="F51" s="33">
        <f>'ведом 2024 пр.4'!J2446</f>
        <v>0</v>
      </c>
      <c r="G51" s="33">
        <f>'ведом 2024 пр.4'!K2446</f>
        <v>944.59999999999991</v>
      </c>
      <c r="H51" s="33">
        <f>'ведом 2024 пр.4'!L2446</f>
        <v>0</v>
      </c>
      <c r="L51" s="236">
        <f>C51/746607.6*100</f>
        <v>0.72946283964963654</v>
      </c>
    </row>
    <row r="52" spans="1:12" ht="22.5" customHeight="1" x14ac:dyDescent="0.2">
      <c r="A52" s="30">
        <v>1004</v>
      </c>
      <c r="B52" s="34" t="s">
        <v>81</v>
      </c>
      <c r="C52" s="33">
        <f>'ведом 2024 пр.4'!G2447</f>
        <v>1080.45</v>
      </c>
      <c r="D52" s="33">
        <f>'ведом 2024 пр.4'!H2447</f>
        <v>592.6</v>
      </c>
      <c r="E52" s="709">
        <f>'ведом 2024 пр.4'!I2447</f>
        <v>1160.45</v>
      </c>
      <c r="F52" s="33">
        <f>'ведом 2024 пр.4'!J2447</f>
        <v>592.6</v>
      </c>
      <c r="G52" s="13">
        <f>E52-C52</f>
        <v>80</v>
      </c>
      <c r="H52" s="13">
        <f>F52-D52</f>
        <v>0</v>
      </c>
    </row>
    <row r="53" spans="1:12" ht="18.75" customHeight="1" x14ac:dyDescent="0.2">
      <c r="A53" s="31">
        <v>1006</v>
      </c>
      <c r="B53" s="18" t="s">
        <v>82</v>
      </c>
      <c r="C53" s="77">
        <f>'ведом 2024 пр.4'!G2448</f>
        <v>4493.0000000000009</v>
      </c>
      <c r="D53" s="77">
        <f>'ведом 2024 пр.4'!H2448</f>
        <v>0</v>
      </c>
      <c r="E53" s="710">
        <f>'ведом 2024 пр.4'!I2448</f>
        <v>6493</v>
      </c>
      <c r="F53" s="77">
        <f>'ведом 2024 пр.4'!J2448</f>
        <v>0</v>
      </c>
      <c r="G53" s="77">
        <f>'ведом 2024 пр.4'!K2448</f>
        <v>1999.9999999999991</v>
      </c>
      <c r="H53" s="77">
        <f>'ведом 2024 пр.4'!L2448</f>
        <v>0</v>
      </c>
      <c r="L53" s="236">
        <f>C53/746607.6*100</f>
        <v>0.60178867721142948</v>
      </c>
    </row>
    <row r="54" spans="1:12" x14ac:dyDescent="0.2">
      <c r="A54" s="29">
        <v>1100</v>
      </c>
      <c r="B54" s="10" t="s">
        <v>113</v>
      </c>
      <c r="C54" s="11">
        <f t="shared" ref="C54:H54" si="12">SUM(C55:C58)</f>
        <v>31075.20895</v>
      </c>
      <c r="D54" s="11">
        <f t="shared" si="12"/>
        <v>147.35</v>
      </c>
      <c r="E54" s="11">
        <f t="shared" si="12"/>
        <v>43971.930890000003</v>
      </c>
      <c r="F54" s="11">
        <f t="shared" si="12"/>
        <v>187.35</v>
      </c>
      <c r="G54" s="11">
        <f t="shared" si="12"/>
        <v>12896.721939999999</v>
      </c>
      <c r="H54" s="11">
        <f t="shared" si="12"/>
        <v>40</v>
      </c>
      <c r="L54" s="236">
        <f>C54/746607.6*100</f>
        <v>4.1621876002869511</v>
      </c>
    </row>
    <row r="55" spans="1:12" ht="21" hidden="1" customHeight="1" x14ac:dyDescent="0.2">
      <c r="A55" s="31">
        <v>1101</v>
      </c>
      <c r="B55" s="18" t="s">
        <v>626</v>
      </c>
      <c r="C55" s="15"/>
      <c r="D55" s="15"/>
      <c r="E55" s="15"/>
      <c r="F55" s="15"/>
      <c r="G55" s="15"/>
      <c r="H55" s="15"/>
    </row>
    <row r="56" spans="1:12" x14ac:dyDescent="0.2">
      <c r="A56" s="32">
        <v>1102</v>
      </c>
      <c r="B56" s="18" t="s">
        <v>629</v>
      </c>
      <c r="C56" s="77">
        <f>'ведом 2024 пр.4'!G2450</f>
        <v>14315.979429999999</v>
      </c>
      <c r="D56" s="77">
        <f>'ведом 2024 пр.4'!H2450</f>
        <v>0</v>
      </c>
      <c r="E56" s="710">
        <f>'ведом 2024 пр.4'!I2450</f>
        <v>20044.49409</v>
      </c>
      <c r="F56" s="77">
        <f>'ведом 2024 пр.4'!J2450</f>
        <v>0</v>
      </c>
      <c r="G56" s="77">
        <f>'ведом 2024 пр.4'!K2450</f>
        <v>5728.5146600000007</v>
      </c>
      <c r="H56" s="77">
        <f>'ведом 2024 пр.4'!L2450</f>
        <v>0</v>
      </c>
      <c r="L56" s="236">
        <f>C56/746607.6*100</f>
        <v>1.9174703592623485</v>
      </c>
    </row>
    <row r="57" spans="1:12" x14ac:dyDescent="0.2">
      <c r="A57" s="32">
        <v>1103</v>
      </c>
      <c r="B57" s="18" t="s">
        <v>1166</v>
      </c>
      <c r="C57" s="77">
        <f>'ведом 2024 пр.4'!G2324</f>
        <v>15290.002780000001</v>
      </c>
      <c r="D57" s="77">
        <f>'ведом 2024 пр.4'!H2324</f>
        <v>147.35</v>
      </c>
      <c r="E57" s="710">
        <f>'ведом 2024 пр.4'!I2324</f>
        <v>21715.844779999999</v>
      </c>
      <c r="F57" s="77">
        <f>'ведом 2024 пр.4'!J2324</f>
        <v>147.35</v>
      </c>
      <c r="G57" s="77">
        <f>'ведом 2024 пр.4'!K2324</f>
        <v>6425.8419999999987</v>
      </c>
      <c r="H57" s="77">
        <f>'ведом 2024 пр.4'!L2324</f>
        <v>0</v>
      </c>
      <c r="L57" s="236"/>
    </row>
    <row r="58" spans="1:12" ht="18.75" customHeight="1" x14ac:dyDescent="0.3">
      <c r="A58" s="32">
        <v>1105</v>
      </c>
      <c r="B58" s="18" t="s">
        <v>627</v>
      </c>
      <c r="C58" s="28">
        <f>'ведом 2024 пр.4'!G2452</f>
        <v>1469.2267400000001</v>
      </c>
      <c r="D58" s="28">
        <f>'ведом 2024 пр.4'!H2452</f>
        <v>0</v>
      </c>
      <c r="E58" s="710">
        <f>'ведом 2024 пр.4'!I2452</f>
        <v>2211.59202</v>
      </c>
      <c r="F58" s="77">
        <f>'ведом 2024 пр.4'!J2452</f>
        <v>40</v>
      </c>
      <c r="G58" s="77">
        <f>'ведом 2024 пр.4'!K2452</f>
        <v>742.36527999999998</v>
      </c>
      <c r="H58" s="77">
        <f>'ведом 2024 пр.4'!L2452</f>
        <v>40</v>
      </c>
    </row>
    <row r="59" spans="1:12" x14ac:dyDescent="0.3">
      <c r="A59" s="29">
        <v>1200</v>
      </c>
      <c r="B59" s="10" t="s">
        <v>183</v>
      </c>
      <c r="C59" s="70">
        <f t="shared" ref="C59:H59" si="13">SUM(C60:C62)</f>
        <v>3864.02468</v>
      </c>
      <c r="D59" s="70">
        <f t="shared" si="13"/>
        <v>0</v>
      </c>
      <c r="E59" s="70">
        <f t="shared" si="13"/>
        <v>3864.02468</v>
      </c>
      <c r="F59" s="70">
        <f t="shared" si="13"/>
        <v>0</v>
      </c>
      <c r="G59" s="70">
        <f t="shared" si="13"/>
        <v>0</v>
      </c>
      <c r="H59" s="70">
        <f t="shared" si="13"/>
        <v>0</v>
      </c>
      <c r="L59" s="236">
        <f>C59/746607.6*100</f>
        <v>0.51754424680380962</v>
      </c>
    </row>
    <row r="60" spans="1:12" ht="18.75" hidden="1" customHeight="1" x14ac:dyDescent="0.3">
      <c r="A60" s="31">
        <v>1201</v>
      </c>
      <c r="B60" s="18" t="s">
        <v>77</v>
      </c>
      <c r="C60" s="28"/>
      <c r="D60" s="28"/>
      <c r="E60" s="28"/>
      <c r="F60" s="28"/>
      <c r="G60" s="28"/>
      <c r="H60" s="28"/>
    </row>
    <row r="61" spans="1:12" x14ac:dyDescent="0.3">
      <c r="A61" s="32">
        <v>1202</v>
      </c>
      <c r="B61" s="18" t="s">
        <v>618</v>
      </c>
      <c r="C61" s="28">
        <f>'ведом 2024 пр.4'!G2454</f>
        <v>3864.02468</v>
      </c>
      <c r="D61" s="28">
        <f>'ведом 2024 пр.4'!H2454</f>
        <v>0</v>
      </c>
      <c r="E61" s="708">
        <f>'ведом 2024 пр.4'!I2454</f>
        <v>3864.02468</v>
      </c>
      <c r="F61" s="28">
        <f>'ведом 2024 пр.4'!J2454</f>
        <v>0</v>
      </c>
      <c r="G61" s="28">
        <f>'ведом 2024 пр.4'!K2454</f>
        <v>0</v>
      </c>
      <c r="H61" s="28">
        <f>'ведом 2024 пр.4'!L2454</f>
        <v>0</v>
      </c>
      <c r="L61" s="236">
        <f>C61/746607.6*100</f>
        <v>0.51754424680380962</v>
      </c>
    </row>
    <row r="62" spans="1:12" ht="18.75" hidden="1" customHeight="1" x14ac:dyDescent="0.3">
      <c r="A62" s="32">
        <v>1204</v>
      </c>
      <c r="B62" s="18" t="s">
        <v>628</v>
      </c>
      <c r="C62" s="28"/>
      <c r="D62" s="28"/>
      <c r="E62" s="28"/>
      <c r="F62" s="28"/>
      <c r="G62" s="28"/>
      <c r="H62" s="28"/>
    </row>
    <row r="63" spans="1:12" ht="18" customHeight="1" x14ac:dyDescent="0.3">
      <c r="A63" s="29">
        <v>1300</v>
      </c>
      <c r="B63" s="10" t="s">
        <v>459</v>
      </c>
      <c r="C63" s="35">
        <f t="shared" ref="C63:H63" si="14">C64</f>
        <v>12.985889999999999</v>
      </c>
      <c r="D63" s="35">
        <f t="shared" si="14"/>
        <v>0</v>
      </c>
      <c r="E63" s="35">
        <f t="shared" si="14"/>
        <v>12.985889999999999</v>
      </c>
      <c r="F63" s="35">
        <f t="shared" si="14"/>
        <v>0</v>
      </c>
      <c r="G63" s="35">
        <f t="shared" si="14"/>
        <v>0</v>
      </c>
      <c r="H63" s="35">
        <f t="shared" si="14"/>
        <v>0</v>
      </c>
      <c r="L63" s="236">
        <f>C63/746607.6*100</f>
        <v>1.739319289008041E-3</v>
      </c>
    </row>
    <row r="64" spans="1:12" ht="19.5" customHeight="1" x14ac:dyDescent="0.3">
      <c r="A64" s="31">
        <v>1301</v>
      </c>
      <c r="B64" s="18" t="s">
        <v>30</v>
      </c>
      <c r="C64" s="28">
        <f>'ведом 2024 пр.4'!G2456</f>
        <v>12.985889999999999</v>
      </c>
      <c r="D64" s="28">
        <f>'ведом 2024 пр.4'!H2456</f>
        <v>0</v>
      </c>
      <c r="E64" s="28">
        <f>'ведом 2024 пр.4'!I2456</f>
        <v>12.985889999999999</v>
      </c>
      <c r="F64" s="28">
        <f>'ведом 2024 пр.4'!J2456</f>
        <v>0</v>
      </c>
      <c r="G64" s="28">
        <f>'ведом 2024 пр.4'!K2456</f>
        <v>0</v>
      </c>
      <c r="H64" s="28">
        <f>'ведом 2024 пр.4'!L2456</f>
        <v>0</v>
      </c>
      <c r="L64" s="236">
        <f>C64/746607.6*100</f>
        <v>1.739319289008041E-3</v>
      </c>
    </row>
    <row r="65" spans="1:12" ht="37.5" x14ac:dyDescent="0.3">
      <c r="A65" s="29">
        <v>1400</v>
      </c>
      <c r="B65" s="10" t="s">
        <v>1087</v>
      </c>
      <c r="C65" s="35">
        <f t="shared" ref="C65:H65" si="15">SUM(C66:C68)</f>
        <v>66506.580999999991</v>
      </c>
      <c r="D65" s="35">
        <f t="shared" si="15"/>
        <v>0</v>
      </c>
      <c r="E65" s="35">
        <f t="shared" si="15"/>
        <v>74597.780999999988</v>
      </c>
      <c r="F65" s="35">
        <f t="shared" si="15"/>
        <v>329</v>
      </c>
      <c r="G65" s="35">
        <f t="shared" si="15"/>
        <v>8091.1999999999971</v>
      </c>
      <c r="H65" s="35">
        <f t="shared" si="15"/>
        <v>329</v>
      </c>
      <c r="L65" s="236">
        <f>C65/746607.6*100</f>
        <v>8.9078360573881099</v>
      </c>
    </row>
    <row r="66" spans="1:12" ht="37.5" x14ac:dyDescent="0.3">
      <c r="A66" s="31">
        <v>1401</v>
      </c>
      <c r="B66" s="18" t="s">
        <v>184</v>
      </c>
      <c r="C66" s="28">
        <f>'ведом 2024 пр.4'!G2458</f>
        <v>77.400000000000006</v>
      </c>
      <c r="D66" s="28">
        <f>'ведом 2024 пр.4'!H2458</f>
        <v>0</v>
      </c>
      <c r="E66" s="28">
        <f>'ведом 2024 пр.4'!I2458</f>
        <v>77.400000000000006</v>
      </c>
      <c r="F66" s="28">
        <f>'ведом 2024 пр.4'!J2458</f>
        <v>0</v>
      </c>
      <c r="G66" s="28">
        <f>'ведом 2024 пр.4'!K2458</f>
        <v>0</v>
      </c>
      <c r="H66" s="28">
        <f>'ведом 2024 пр.4'!L2458</f>
        <v>0</v>
      </c>
      <c r="L66" s="236">
        <f>C66/746607.6*100</f>
        <v>1.0366891523740183E-2</v>
      </c>
    </row>
    <row r="67" spans="1:12" ht="18.75" hidden="1" customHeight="1" x14ac:dyDescent="0.3">
      <c r="A67" s="32">
        <v>1402</v>
      </c>
      <c r="B67" s="18" t="s">
        <v>185</v>
      </c>
      <c r="C67" s="28">
        <f>'ведом 2024 пр.4'!G2459</f>
        <v>0</v>
      </c>
      <c r="D67" s="28">
        <f>'ведом 2024 пр.4'!H2459</f>
        <v>0</v>
      </c>
      <c r="E67" s="28">
        <f>'ведом 2024 пр.4'!I2459</f>
        <v>0</v>
      </c>
      <c r="F67" s="28">
        <f>'ведом 2024 пр.4'!J2459</f>
        <v>0</v>
      </c>
      <c r="G67" s="13">
        <f>E67-C67</f>
        <v>0</v>
      </c>
      <c r="H67" s="13">
        <f>F67-D67</f>
        <v>0</v>
      </c>
    </row>
    <row r="68" spans="1:12" x14ac:dyDescent="0.3">
      <c r="A68" s="32">
        <v>1403</v>
      </c>
      <c r="B68" s="18" t="s">
        <v>11</v>
      </c>
      <c r="C68" s="28">
        <f>'ведом 2024 пр.4'!G2460</f>
        <v>66429.180999999997</v>
      </c>
      <c r="D68" s="28">
        <f>'ведом 2024 пр.4'!H2460</f>
        <v>0</v>
      </c>
      <c r="E68" s="28">
        <f>'ведом 2024 пр.4'!I2460</f>
        <v>74520.380999999994</v>
      </c>
      <c r="F68" s="28">
        <f>'ведом 2024 пр.4'!J2460</f>
        <v>329</v>
      </c>
      <c r="G68" s="28">
        <f>'ведом 2024 пр.4'!K2460</f>
        <v>8091.1999999999971</v>
      </c>
      <c r="H68" s="28">
        <f>'ведом 2024 пр.4'!L2460</f>
        <v>329</v>
      </c>
      <c r="L68" s="236">
        <f>C68/746607.6*100</f>
        <v>8.8974691658643703</v>
      </c>
    </row>
    <row r="69" spans="1:12" x14ac:dyDescent="0.3">
      <c r="A69" s="768" t="s">
        <v>83</v>
      </c>
      <c r="B69" s="769"/>
      <c r="C69" s="35">
        <f t="shared" ref="C69:H69" si="16">C65+C63+C59+C54+C48+C46+C43+C36+C34+C29+C22+C17+C8</f>
        <v>1933348.7677599997</v>
      </c>
      <c r="D69" s="35">
        <f t="shared" si="16"/>
        <v>552456.90230999992</v>
      </c>
      <c r="E69" s="35">
        <f>E65+E63+E59+E54+E48+E46+E43+E36+E34+E29+E22+E17+E8</f>
        <v>2219807.5769099998</v>
      </c>
      <c r="F69" s="35">
        <f t="shared" si="16"/>
        <v>577092.04270999995</v>
      </c>
      <c r="G69" s="35">
        <f t="shared" si="16"/>
        <v>286458.8091500001</v>
      </c>
      <c r="H69" s="35">
        <f t="shared" si="16"/>
        <v>24635.140400000008</v>
      </c>
    </row>
    <row r="70" spans="1:12" s="22" customFormat="1" x14ac:dyDescent="0.3">
      <c r="A70" s="767" t="s">
        <v>84</v>
      </c>
      <c r="B70" s="767"/>
      <c r="C70" s="36">
        <f>'прил1 доходы 2024'!C6+'безвоз 2024 пр.2'!D7-'Функц. пр.3'!C69</f>
        <v>-29946.484929999802</v>
      </c>
      <c r="D70" s="36">
        <v>0</v>
      </c>
      <c r="E70" s="36">
        <f>'прил1 доходы 2024'!D6+'безвоз 2024 пр.2'!E7-'Функц. пр.3'!E69</f>
        <v>-29946.484929999337</v>
      </c>
      <c r="F70" s="36">
        <v>0</v>
      </c>
      <c r="G70" s="36">
        <f>E70-C70</f>
        <v>4.6566128730773926E-10</v>
      </c>
      <c r="H70" s="36">
        <v>0</v>
      </c>
    </row>
    <row r="71" spans="1:12" ht="18.75" customHeight="1" x14ac:dyDescent="0.3">
      <c r="A71" s="37"/>
      <c r="B71" s="38"/>
      <c r="C71" s="111">
        <f>-(ист.прил5!C40)</f>
        <v>-29946.484929999802</v>
      </c>
      <c r="E71" s="111">
        <f>-(ист.прил5!D40)</f>
        <v>-29946.484929999337</v>
      </c>
      <c r="G71" s="111">
        <f>ист.прил5!E24-ист.прил5!E16</f>
        <v>0</v>
      </c>
    </row>
    <row r="72" spans="1:12" hidden="1" x14ac:dyDescent="0.3">
      <c r="C72" s="112">
        <f>C71-C70</f>
        <v>0</v>
      </c>
      <c r="D72" s="6"/>
      <c r="E72" s="112">
        <f>E71-E70</f>
        <v>0</v>
      </c>
      <c r="F72" s="6"/>
      <c r="G72" s="112">
        <f>G71-G70</f>
        <v>-4.6566128730773926E-10</v>
      </c>
      <c r="H72" s="6"/>
    </row>
    <row r="73" spans="1:12" hidden="1" x14ac:dyDescent="0.3">
      <c r="B73" s="6"/>
      <c r="C73" s="250"/>
      <c r="E73" s="250">
        <f>E71-C71</f>
        <v>4.6566128730773926E-10</v>
      </c>
      <c r="G73" s="250"/>
    </row>
    <row r="74" spans="1:12" hidden="1" x14ac:dyDescent="0.3">
      <c r="C74" s="112">
        <f>C69-'ведом 2024 пр.4'!G2366</f>
        <v>0</v>
      </c>
      <c r="D74" s="112">
        <f>D69-'ведом 2024 пр.4'!H2366</f>
        <v>0</v>
      </c>
      <c r="E74" s="112">
        <f>E69-'ведом 2024 пр.4'!I2366</f>
        <v>0</v>
      </c>
      <c r="F74" s="112">
        <f>F69-'ведом 2024 пр.4'!J2366</f>
        <v>0</v>
      </c>
      <c r="G74" s="112">
        <f>G69-'ведом 2024 пр.4'!K2366</f>
        <v>0</v>
      </c>
      <c r="H74" s="112">
        <f>H69-'ведом 2024 пр.4'!L2366</f>
        <v>0</v>
      </c>
    </row>
    <row r="75" spans="1:12" x14ac:dyDescent="0.3">
      <c r="C75" s="112">
        <f>C36+C43+C48+C54</f>
        <v>1177134.3521699999</v>
      </c>
    </row>
    <row r="76" spans="1:12" x14ac:dyDescent="0.3">
      <c r="C76" s="112">
        <f>C75/C69*100</f>
        <v>60.885773524134571</v>
      </c>
    </row>
  </sheetData>
  <autoFilter ref="A7:N76">
    <filterColumn colId="2">
      <filters>
        <filter val="1 268,6"/>
        <filter val="1 390 829,9"/>
        <filter val="1 404,6"/>
        <filter val="1 778,2"/>
        <filter val="11,7"/>
        <filter val="12 094,7"/>
        <filter val="13 063,7"/>
        <filter val="140 869,3"/>
        <filter val="20 680,6"/>
        <filter val="29 033,4"/>
        <filter val="3 000,0"/>
        <filter val="3 905,3"/>
        <filter val="301 004,3"/>
        <filter val="322 013,8"/>
        <filter val="346,0"/>
        <filter val="350,0"/>
        <filter val="39 167,1"/>
        <filter val="4 015,2"/>
        <filter val="4 540,0"/>
        <filter val="4 793,2"/>
        <filter val="46 503,8"/>
        <filter val="47 800,5"/>
        <filter val="47 990,6"/>
        <filter val="48 068,0"/>
        <filter val="5 178,9"/>
        <filter val="53 764,6"/>
        <filter val="55 103,0"/>
        <filter val="574 249,3"/>
        <filter val="6 197,7"/>
        <filter val="6 376,7"/>
        <filter val="60 068,9"/>
        <filter val="65,0"/>
        <filter val="67 026,0"/>
        <filter val="7 650,1"/>
        <filter val="7 798,1"/>
        <filter val="700,0"/>
        <filter val="77,4"/>
        <filter val="787,8"/>
        <filter val="8 599,2"/>
        <filter val="8 819,4"/>
        <filter val="814 773,0"/>
        <filter val="896,8"/>
        <filter val="9 600,4"/>
        <filter val="903 620,2"/>
        <filter val="988,7"/>
      </filters>
    </filterColumn>
  </autoFilter>
  <dataConsolidate/>
  <mergeCells count="12">
    <mergeCell ref="G6:G7"/>
    <mergeCell ref="A4:H4"/>
    <mergeCell ref="H6:H7"/>
    <mergeCell ref="E6:E7"/>
    <mergeCell ref="F6:F7"/>
    <mergeCell ref="C6:C7"/>
    <mergeCell ref="D6:D7"/>
    <mergeCell ref="A70:B70"/>
    <mergeCell ref="A69:B69"/>
    <mergeCell ref="B6:B7"/>
    <mergeCell ref="A6:A7"/>
    <mergeCell ref="A2:B2"/>
  </mergeCells>
  <phoneticPr fontId="0" type="noConversion"/>
  <printOptions horizontalCentered="1"/>
  <pageMargins left="0.70866141732283472" right="0.23622047244094491" top="0.15748031496062992" bottom="0.19685039370078741" header="0.15748031496062992" footer="0.19685039370078741"/>
  <pageSetup paperSize="9" scale="64" firstPageNumber="37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  <pageSetUpPr fitToPage="1"/>
  </sheetPr>
  <dimension ref="A1:Z3068"/>
  <sheetViews>
    <sheetView tabSelected="1" zoomScale="85" zoomScaleNormal="85" zoomScaleSheetLayoutView="85" workbookViewId="0">
      <pane ySplit="10" topLeftCell="A2380" activePane="bottomLeft" state="frozen"/>
      <selection activeCell="E1" sqref="E1"/>
      <selection pane="bottomLeft" activeCell="I1889" sqref="I1889"/>
    </sheetView>
  </sheetViews>
  <sheetFormatPr defaultRowHeight="12.75" x14ac:dyDescent="0.2"/>
  <cols>
    <col min="1" max="1" width="110.7109375" style="163" customWidth="1"/>
    <col min="2" max="2" width="7.140625" style="332" customWidth="1"/>
    <col min="3" max="3" width="4.7109375" style="344" customWidth="1"/>
    <col min="4" max="4" width="5.140625" style="344" customWidth="1"/>
    <col min="5" max="5" width="14" style="370" customWidth="1"/>
    <col min="6" max="6" width="6.5703125" style="370" customWidth="1"/>
    <col min="7" max="7" width="15.5703125" style="482" hidden="1" customWidth="1"/>
    <col min="8" max="8" width="13.140625" style="482" hidden="1" customWidth="1"/>
    <col min="9" max="9" width="16.42578125" style="482" customWidth="1"/>
    <col min="10" max="10" width="13.28515625" style="482" customWidth="1"/>
    <col min="11" max="11" width="13.28515625" style="165" hidden="1" customWidth="1"/>
    <col min="12" max="12" width="13.140625" style="165" hidden="1" customWidth="1"/>
    <col min="13" max="13" width="17" style="167" customWidth="1"/>
    <col min="14" max="14" width="18" style="165" hidden="1" customWidth="1"/>
    <col min="15" max="15" width="0" style="167" hidden="1" customWidth="1"/>
    <col min="16" max="17" width="20.28515625" style="167" customWidth="1"/>
    <col min="18" max="18" width="19.42578125" style="165" customWidth="1"/>
    <col min="19" max="19" width="17.5703125" style="165" customWidth="1"/>
    <col min="20" max="20" width="18.5703125" style="216" customWidth="1"/>
    <col min="21" max="21" width="14" style="482" customWidth="1"/>
    <col min="22" max="22" width="14.28515625" style="482" customWidth="1"/>
    <col min="23" max="24" width="13.140625" style="167" customWidth="1"/>
    <col min="25" max="25" width="63.5703125" style="167" customWidth="1"/>
    <col min="26" max="16384" width="9.140625" style="167"/>
  </cols>
  <sheetData>
    <row r="1" spans="1:24" x14ac:dyDescent="0.2">
      <c r="H1" s="502"/>
      <c r="J1" s="502" t="s">
        <v>659</v>
      </c>
      <c r="M1" s="163">
        <f>G2366-M2</f>
        <v>160100.06775999954</v>
      </c>
      <c r="P1" s="123">
        <f>1652731.227-18426.3+7163.1+15539.9+4060.2</f>
        <v>1661068.1269999999</v>
      </c>
      <c r="S1" s="218"/>
      <c r="V1" s="500"/>
    </row>
    <row r="2" spans="1:24" x14ac:dyDescent="0.2">
      <c r="H2" s="218"/>
      <c r="J2" s="218"/>
      <c r="L2" s="218" t="s">
        <v>179</v>
      </c>
      <c r="M2" s="372">
        <f>1503298.1+49496.6+39686.1+272.3+21372+12441.3+4.1+3370.3+3357.2+685+500+200+200+630+1700+7912.2+990+160+290+150+1000+150+186.7+1000+100+101708.9+22387.9</f>
        <v>1773248.7000000002</v>
      </c>
      <c r="P2" s="123">
        <f>P1-G2366</f>
        <v>-272280.64075999986</v>
      </c>
      <c r="S2" s="218"/>
      <c r="V2" s="500"/>
    </row>
    <row r="3" spans="1:24" x14ac:dyDescent="0.2">
      <c r="E3" s="371"/>
      <c r="H3" s="502"/>
      <c r="J3" s="502"/>
      <c r="L3" s="502" t="s">
        <v>1844</v>
      </c>
      <c r="P3" s="166"/>
      <c r="S3" s="218"/>
      <c r="V3" s="500"/>
    </row>
    <row r="4" spans="1:24" x14ac:dyDescent="0.2">
      <c r="E4" s="371"/>
      <c r="H4" s="502"/>
      <c r="J4" s="502"/>
      <c r="L4" s="502" t="s">
        <v>1845</v>
      </c>
      <c r="S4" s="218"/>
      <c r="V4" s="500"/>
    </row>
    <row r="5" spans="1:24" x14ac:dyDescent="0.2">
      <c r="E5" s="371"/>
      <c r="P5" s="166"/>
    </row>
    <row r="6" spans="1:24" ht="15" x14ac:dyDescent="0.25">
      <c r="A6" s="779" t="s">
        <v>1846</v>
      </c>
      <c r="B6" s="779"/>
      <c r="C6" s="779"/>
      <c r="D6" s="779"/>
      <c r="E6" s="779"/>
      <c r="F6" s="779"/>
      <c r="G6" s="779"/>
      <c r="H6" s="779"/>
      <c r="I6" s="528"/>
      <c r="J6" s="527"/>
      <c r="K6" s="527"/>
      <c r="L6" s="527"/>
      <c r="N6" s="167"/>
      <c r="R6" s="527"/>
      <c r="S6" s="527"/>
      <c r="U6" s="528"/>
      <c r="V6" s="528"/>
    </row>
    <row r="7" spans="1:24" x14ac:dyDescent="0.2">
      <c r="A7" s="117"/>
      <c r="B7" s="333"/>
      <c r="C7" s="345"/>
      <c r="D7" s="345"/>
      <c r="E7" s="372"/>
      <c r="F7" s="372"/>
      <c r="G7" s="440"/>
      <c r="H7" s="618">
        <f>H474+H719+H790+H986+H1195+H1647</f>
        <v>0</v>
      </c>
      <c r="I7" s="440"/>
      <c r="J7" s="618">
        <f>J474+J719+J790+J986+J1195+J1647</f>
        <v>0</v>
      </c>
      <c r="K7" s="41"/>
      <c r="L7" s="41"/>
      <c r="N7" s="41"/>
      <c r="R7" s="619"/>
      <c r="S7" s="619">
        <f>S474+S719+S790+S986+S1195+S1647</f>
        <v>114767.8</v>
      </c>
      <c r="U7" s="440"/>
      <c r="V7" s="440">
        <f>V474+V719+V790+V986+V1195+V1647</f>
        <v>150036.33549</v>
      </c>
    </row>
    <row r="8" spans="1:24" x14ac:dyDescent="0.2">
      <c r="A8" s="117"/>
      <c r="B8" s="333"/>
      <c r="C8" s="345"/>
      <c r="D8" s="345"/>
      <c r="E8" s="372"/>
      <c r="F8" s="372"/>
      <c r="G8" s="440"/>
      <c r="H8" s="440"/>
      <c r="I8" s="440"/>
      <c r="J8" s="440"/>
      <c r="K8" s="41"/>
      <c r="L8" s="168" t="s">
        <v>201</v>
      </c>
      <c r="N8" s="41"/>
      <c r="R8" s="41"/>
      <c r="S8" s="41"/>
      <c r="U8" s="440"/>
      <c r="V8" s="440"/>
    </row>
    <row r="9" spans="1:24" ht="14.25" customHeight="1" x14ac:dyDescent="0.2">
      <c r="A9" s="782" t="s">
        <v>198</v>
      </c>
      <c r="B9" s="784" t="s">
        <v>199</v>
      </c>
      <c r="C9" s="786" t="s">
        <v>3</v>
      </c>
      <c r="D9" s="786" t="s">
        <v>4</v>
      </c>
      <c r="E9" s="780" t="s">
        <v>5</v>
      </c>
      <c r="F9" s="780" t="s">
        <v>155</v>
      </c>
      <c r="G9" s="777" t="s">
        <v>1981</v>
      </c>
      <c r="H9" s="778" t="s">
        <v>170</v>
      </c>
      <c r="I9" s="777" t="s">
        <v>1980</v>
      </c>
      <c r="J9" s="778" t="s">
        <v>170</v>
      </c>
      <c r="K9" s="772" t="s">
        <v>234</v>
      </c>
      <c r="L9" s="774" t="s">
        <v>170</v>
      </c>
      <c r="N9" s="772" t="s">
        <v>595</v>
      </c>
      <c r="R9" s="772" t="s">
        <v>1676</v>
      </c>
      <c r="S9" s="774" t="s">
        <v>170</v>
      </c>
      <c r="U9" s="777" t="s">
        <v>1413</v>
      </c>
      <c r="V9" s="778" t="s">
        <v>170</v>
      </c>
    </row>
    <row r="10" spans="1:24" ht="14.25" customHeight="1" x14ac:dyDescent="0.2">
      <c r="A10" s="783"/>
      <c r="B10" s="785"/>
      <c r="C10" s="787"/>
      <c r="D10" s="787"/>
      <c r="E10" s="781"/>
      <c r="F10" s="781"/>
      <c r="G10" s="777"/>
      <c r="H10" s="778"/>
      <c r="I10" s="777"/>
      <c r="J10" s="778"/>
      <c r="K10" s="772"/>
      <c r="L10" s="774"/>
      <c r="N10" s="772"/>
      <c r="R10" s="772"/>
      <c r="S10" s="774"/>
      <c r="U10" s="777"/>
      <c r="V10" s="778"/>
    </row>
    <row r="11" spans="1:24" s="169" customFormat="1" ht="15.75" x14ac:dyDescent="0.25">
      <c r="A11" s="737" t="s">
        <v>469</v>
      </c>
      <c r="B11" s="66" t="s">
        <v>622</v>
      </c>
      <c r="C11" s="346"/>
      <c r="D11" s="346"/>
      <c r="E11" s="373"/>
      <c r="F11" s="373"/>
      <c r="G11" s="44">
        <f>G12</f>
        <v>4157.48488</v>
      </c>
      <c r="H11" s="44">
        <f>H12</f>
        <v>0</v>
      </c>
      <c r="I11" s="44">
        <f>I12</f>
        <v>5586.7678800000003</v>
      </c>
      <c r="J11" s="44">
        <f>J12</f>
        <v>74.400000000000006</v>
      </c>
      <c r="K11" s="44">
        <f t="shared" ref="K11:K79" si="0">I11-G11</f>
        <v>1429.2830000000004</v>
      </c>
      <c r="L11" s="44">
        <f t="shared" ref="L11:L81" si="1">J11-H11</f>
        <v>74.400000000000006</v>
      </c>
      <c r="M11" s="217">
        <f>I11-G11-K11</f>
        <v>0</v>
      </c>
      <c r="N11" s="44">
        <f>N12</f>
        <v>2872.16</v>
      </c>
      <c r="R11" s="44">
        <f>R12</f>
        <v>3858.2075799999998</v>
      </c>
      <c r="S11" s="44">
        <f>S12</f>
        <v>0</v>
      </c>
      <c r="T11" s="217">
        <f t="shared" ref="T11:T32" si="2">I11-G11</f>
        <v>1429.2830000000004</v>
      </c>
      <c r="U11" s="44">
        <f>U12</f>
        <v>3631.10023</v>
      </c>
      <c r="V11" s="44">
        <f>V12</f>
        <v>0</v>
      </c>
      <c r="W11" s="203">
        <f t="shared" ref="W11:W57" si="3">G11-I11</f>
        <v>-1429.2830000000004</v>
      </c>
      <c r="X11" s="203">
        <f t="shared" ref="X11:X57" si="4">K11+W11</f>
        <v>0</v>
      </c>
    </row>
    <row r="12" spans="1:24" ht="15" x14ac:dyDescent="0.2">
      <c r="A12" s="738" t="s">
        <v>156</v>
      </c>
      <c r="B12" s="67" t="s">
        <v>622</v>
      </c>
      <c r="C12" s="347" t="s">
        <v>605</v>
      </c>
      <c r="D12" s="347"/>
      <c r="E12" s="374"/>
      <c r="F12" s="374"/>
      <c r="G12" s="42">
        <f>G13+G42+G65</f>
        <v>4157.48488</v>
      </c>
      <c r="H12" s="42">
        <f>H13+H42+H65</f>
        <v>0</v>
      </c>
      <c r="I12" s="42">
        <f>I13+I42+I65</f>
        <v>5586.7678800000003</v>
      </c>
      <c r="J12" s="42">
        <f>J13+J42+J65</f>
        <v>74.400000000000006</v>
      </c>
      <c r="K12" s="42">
        <f t="shared" si="0"/>
        <v>1429.2830000000004</v>
      </c>
      <c r="L12" s="42">
        <f t="shared" si="1"/>
        <v>74.400000000000006</v>
      </c>
      <c r="M12" s="217">
        <f t="shared" ref="M12:M112" si="5">I12-G12-K12</f>
        <v>0</v>
      </c>
      <c r="N12" s="42">
        <f>N13+N42+N65</f>
        <v>2872.16</v>
      </c>
      <c r="R12" s="42">
        <f>R13+R42+R65</f>
        <v>3858.2075799999998</v>
      </c>
      <c r="S12" s="42">
        <f>S13+S42+S65</f>
        <v>0</v>
      </c>
      <c r="T12" s="217">
        <f t="shared" si="2"/>
        <v>1429.2830000000004</v>
      </c>
      <c r="U12" s="42">
        <f>U13+U42+U65</f>
        <v>3631.10023</v>
      </c>
      <c r="V12" s="42">
        <f>V13+V42+V65</f>
        <v>0</v>
      </c>
      <c r="W12" s="203">
        <f t="shared" si="3"/>
        <v>-1429.2830000000004</v>
      </c>
      <c r="X12" s="203">
        <f t="shared" si="4"/>
        <v>0</v>
      </c>
    </row>
    <row r="13" spans="1:24" s="4" customFormat="1" ht="25.5" x14ac:dyDescent="0.2">
      <c r="A13" s="738" t="s">
        <v>110</v>
      </c>
      <c r="B13" s="67" t="s">
        <v>622</v>
      </c>
      <c r="C13" s="347" t="s">
        <v>605</v>
      </c>
      <c r="D13" s="347" t="s">
        <v>606</v>
      </c>
      <c r="E13" s="374"/>
      <c r="F13" s="374"/>
      <c r="G13" s="42">
        <f>G14</f>
        <v>2569.2437899999995</v>
      </c>
      <c r="H13" s="42">
        <f>H14</f>
        <v>0</v>
      </c>
      <c r="I13" s="42">
        <f>I14</f>
        <v>3702.7987899999998</v>
      </c>
      <c r="J13" s="42">
        <f>J14</f>
        <v>62.400000000000006</v>
      </c>
      <c r="K13" s="42">
        <f t="shared" si="0"/>
        <v>1133.5550000000003</v>
      </c>
      <c r="L13" s="42">
        <f t="shared" si="1"/>
        <v>62.400000000000006</v>
      </c>
      <c r="M13" s="217">
        <f t="shared" si="5"/>
        <v>0</v>
      </c>
      <c r="N13" s="42">
        <f>N14</f>
        <v>1661.5</v>
      </c>
      <c r="R13" s="42">
        <f>R14</f>
        <v>2393.8339999999998</v>
      </c>
      <c r="S13" s="42">
        <f>S14</f>
        <v>0</v>
      </c>
      <c r="T13" s="217">
        <f t="shared" si="2"/>
        <v>1133.5550000000003</v>
      </c>
      <c r="U13" s="42">
        <f>U14</f>
        <v>2055.127</v>
      </c>
      <c r="V13" s="42">
        <f>V14</f>
        <v>0</v>
      </c>
      <c r="W13" s="203">
        <f t="shared" si="3"/>
        <v>-1133.5550000000003</v>
      </c>
      <c r="X13" s="203">
        <f t="shared" si="4"/>
        <v>0</v>
      </c>
    </row>
    <row r="14" spans="1:24" s="4" customFormat="1" ht="15" x14ac:dyDescent="0.2">
      <c r="A14" s="738" t="s">
        <v>65</v>
      </c>
      <c r="B14" s="67" t="s">
        <v>622</v>
      </c>
      <c r="C14" s="347" t="s">
        <v>605</v>
      </c>
      <c r="D14" s="347" t="s">
        <v>606</v>
      </c>
      <c r="E14" s="374" t="s">
        <v>312</v>
      </c>
      <c r="F14" s="374"/>
      <c r="G14" s="42">
        <f>G20+G27+G30+G33+G36+G15+G17+G39</f>
        <v>2569.2437899999995</v>
      </c>
      <c r="H14" s="42">
        <f t="shared" ref="H14:L14" si="6">H20+H27+H30+H33+H36+H15+H17+H39</f>
        <v>0</v>
      </c>
      <c r="I14" s="42">
        <f t="shared" si="6"/>
        <v>3702.7987899999998</v>
      </c>
      <c r="J14" s="42">
        <f t="shared" si="6"/>
        <v>62.400000000000006</v>
      </c>
      <c r="K14" s="42">
        <f t="shared" si="6"/>
        <v>1133.5549999999998</v>
      </c>
      <c r="L14" s="42">
        <f t="shared" si="6"/>
        <v>62.400000000000006</v>
      </c>
      <c r="M14" s="217">
        <f t="shared" si="5"/>
        <v>0</v>
      </c>
      <c r="N14" s="42">
        <f>N20+N27+N30</f>
        <v>1661.5</v>
      </c>
      <c r="R14" s="42">
        <f>R20+R27+R30+R33</f>
        <v>2393.8339999999998</v>
      </c>
      <c r="S14" s="42">
        <f>S20+S27+S30+S33</f>
        <v>0</v>
      </c>
      <c r="T14" s="217">
        <f t="shared" si="2"/>
        <v>1133.5550000000003</v>
      </c>
      <c r="U14" s="42">
        <f>U20+U27+U30+U33</f>
        <v>2055.127</v>
      </c>
      <c r="V14" s="42">
        <f>V20+V27+V30+V33</f>
        <v>0</v>
      </c>
      <c r="W14" s="203">
        <f t="shared" si="3"/>
        <v>-1133.5550000000003</v>
      </c>
      <c r="X14" s="203">
        <f t="shared" si="4"/>
        <v>0</v>
      </c>
    </row>
    <row r="15" spans="1:24" s="4" customFormat="1" ht="15" x14ac:dyDescent="0.2">
      <c r="A15" s="738" t="s">
        <v>2001</v>
      </c>
      <c r="B15" s="67" t="s">
        <v>622</v>
      </c>
      <c r="C15" s="347" t="s">
        <v>605</v>
      </c>
      <c r="D15" s="347" t="s">
        <v>606</v>
      </c>
      <c r="E15" s="374">
        <v>9990025530</v>
      </c>
      <c r="F15" s="374"/>
      <c r="G15" s="42">
        <f>G16</f>
        <v>0</v>
      </c>
      <c r="H15" s="42">
        <f t="shared" ref="H15:L15" si="7">H16</f>
        <v>0</v>
      </c>
      <c r="I15" s="42">
        <f t="shared" si="7"/>
        <v>75</v>
      </c>
      <c r="J15" s="42">
        <f t="shared" si="7"/>
        <v>0</v>
      </c>
      <c r="K15" s="42">
        <f t="shared" si="7"/>
        <v>75</v>
      </c>
      <c r="L15" s="42">
        <f t="shared" si="7"/>
        <v>0</v>
      </c>
      <c r="M15" s="217"/>
      <c r="N15" s="42"/>
      <c r="R15" s="42"/>
      <c r="S15" s="42"/>
      <c r="T15" s="217"/>
      <c r="U15" s="42"/>
      <c r="V15" s="42"/>
      <c r="W15" s="203"/>
      <c r="X15" s="203"/>
    </row>
    <row r="16" spans="1:24" s="4" customFormat="1" ht="15" x14ac:dyDescent="0.2">
      <c r="A16" s="739" t="s">
        <v>834</v>
      </c>
      <c r="B16" s="629" t="s">
        <v>622</v>
      </c>
      <c r="C16" s="630" t="s">
        <v>605</v>
      </c>
      <c r="D16" s="630" t="s">
        <v>606</v>
      </c>
      <c r="E16" s="718">
        <v>9990025530</v>
      </c>
      <c r="F16" s="718">
        <v>244</v>
      </c>
      <c r="G16" s="631"/>
      <c r="H16" s="631"/>
      <c r="I16" s="631">
        <v>75</v>
      </c>
      <c r="J16" s="631"/>
      <c r="K16" s="43">
        <f t="shared" ref="K16:K19" si="8">I16-G16</f>
        <v>75</v>
      </c>
      <c r="L16" s="43">
        <f t="shared" ref="L16:L19" si="9">J16-H16</f>
        <v>0</v>
      </c>
      <c r="M16" s="217"/>
      <c r="N16" s="42"/>
      <c r="R16" s="42"/>
      <c r="S16" s="42"/>
      <c r="T16" s="217"/>
      <c r="U16" s="42"/>
      <c r="V16" s="42"/>
      <c r="W16" s="203"/>
      <c r="X16" s="203"/>
    </row>
    <row r="17" spans="1:24" s="4" customFormat="1" ht="15" x14ac:dyDescent="0.2">
      <c r="A17" s="740" t="s">
        <v>1414</v>
      </c>
      <c r="B17" s="67" t="s">
        <v>622</v>
      </c>
      <c r="C17" s="347" t="s">
        <v>605</v>
      </c>
      <c r="D17" s="347" t="s">
        <v>606</v>
      </c>
      <c r="E17" s="374">
        <v>9990055493</v>
      </c>
      <c r="F17" s="374"/>
      <c r="G17" s="42">
        <f>G18+G19</f>
        <v>0</v>
      </c>
      <c r="H17" s="42">
        <f t="shared" ref="H17:L17" si="10">H18+H19</f>
        <v>0</v>
      </c>
      <c r="I17" s="42">
        <f t="shared" si="10"/>
        <v>62.400000000000006</v>
      </c>
      <c r="J17" s="42">
        <f t="shared" si="10"/>
        <v>62.400000000000006</v>
      </c>
      <c r="K17" s="42">
        <f t="shared" si="10"/>
        <v>62.400000000000006</v>
      </c>
      <c r="L17" s="42">
        <f t="shared" si="10"/>
        <v>62.400000000000006</v>
      </c>
      <c r="M17" s="217"/>
      <c r="N17" s="42"/>
      <c r="R17" s="42"/>
      <c r="S17" s="42"/>
      <c r="T17" s="217"/>
      <c r="U17" s="42"/>
      <c r="V17" s="42"/>
      <c r="W17" s="203"/>
      <c r="X17" s="203"/>
    </row>
    <row r="18" spans="1:24" s="4" customFormat="1" ht="15" x14ac:dyDescent="0.2">
      <c r="A18" s="739" t="s">
        <v>523</v>
      </c>
      <c r="B18" s="125" t="s">
        <v>622</v>
      </c>
      <c r="C18" s="348" t="s">
        <v>605</v>
      </c>
      <c r="D18" s="348" t="s">
        <v>606</v>
      </c>
      <c r="E18" s="375">
        <v>9990055493</v>
      </c>
      <c r="F18" s="375" t="s">
        <v>129</v>
      </c>
      <c r="G18" s="43"/>
      <c r="H18" s="43"/>
      <c r="I18" s="43">
        <v>47.926270000000002</v>
      </c>
      <c r="J18" s="43">
        <v>47.926270000000002</v>
      </c>
      <c r="K18" s="43">
        <f t="shared" si="8"/>
        <v>47.926270000000002</v>
      </c>
      <c r="L18" s="43">
        <f t="shared" si="9"/>
        <v>47.926270000000002</v>
      </c>
      <c r="M18" s="217"/>
      <c r="N18" s="42"/>
      <c r="R18" s="42"/>
      <c r="S18" s="42"/>
      <c r="T18" s="217"/>
      <c r="U18" s="42"/>
      <c r="V18" s="42"/>
      <c r="W18" s="203"/>
      <c r="X18" s="203"/>
    </row>
    <row r="19" spans="1:24" s="4" customFormat="1" ht="25.5" x14ac:dyDescent="0.2">
      <c r="A19" s="739" t="s">
        <v>572</v>
      </c>
      <c r="B19" s="125" t="s">
        <v>622</v>
      </c>
      <c r="C19" s="348" t="s">
        <v>605</v>
      </c>
      <c r="D19" s="348" t="s">
        <v>606</v>
      </c>
      <c r="E19" s="375">
        <v>9990055493</v>
      </c>
      <c r="F19" s="375">
        <v>129</v>
      </c>
      <c r="G19" s="43"/>
      <c r="H19" s="43"/>
      <c r="I19" s="43">
        <v>14.47373</v>
      </c>
      <c r="J19" s="43">
        <v>14.47373</v>
      </c>
      <c r="K19" s="43">
        <f t="shared" si="8"/>
        <v>14.47373</v>
      </c>
      <c r="L19" s="43">
        <f t="shared" si="9"/>
        <v>14.47373</v>
      </c>
      <c r="M19" s="217"/>
      <c r="N19" s="42"/>
      <c r="R19" s="42"/>
      <c r="S19" s="42"/>
      <c r="T19" s="217"/>
      <c r="U19" s="42"/>
      <c r="V19" s="42"/>
      <c r="W19" s="203"/>
      <c r="X19" s="203"/>
    </row>
    <row r="20" spans="1:24" s="4" customFormat="1" ht="15" x14ac:dyDescent="0.2">
      <c r="A20" s="740" t="s">
        <v>643</v>
      </c>
      <c r="B20" s="67" t="s">
        <v>622</v>
      </c>
      <c r="C20" s="347" t="s">
        <v>605</v>
      </c>
      <c r="D20" s="347" t="s">
        <v>606</v>
      </c>
      <c r="E20" s="374" t="s">
        <v>522</v>
      </c>
      <c r="F20" s="374"/>
      <c r="G20" s="42">
        <f>SUM(G21:G26)</f>
        <v>662.80378999999994</v>
      </c>
      <c r="H20" s="42">
        <f>SUM(H21:H26)</f>
        <v>0</v>
      </c>
      <c r="I20" s="42">
        <f>SUM(I21:I26)</f>
        <v>1151.07179</v>
      </c>
      <c r="J20" s="42">
        <f>SUM(J21:J26)</f>
        <v>0</v>
      </c>
      <c r="K20" s="42">
        <f t="shared" si="0"/>
        <v>488.26800000000003</v>
      </c>
      <c r="L20" s="42">
        <f t="shared" si="1"/>
        <v>0</v>
      </c>
      <c r="M20" s="217">
        <f t="shared" si="5"/>
        <v>0</v>
      </c>
      <c r="N20" s="170">
        <f>SUM(N21:N25)</f>
        <v>478.44999999999993</v>
      </c>
      <c r="R20" s="42">
        <f>SUM(R21:R26)</f>
        <v>587.62100000000009</v>
      </c>
      <c r="S20" s="42">
        <f>SUM(S21:S26)</f>
        <v>0</v>
      </c>
      <c r="T20" s="217">
        <f t="shared" si="2"/>
        <v>488.26800000000003</v>
      </c>
      <c r="U20" s="42">
        <f>SUM(U21:U26)</f>
        <v>580.33100000000002</v>
      </c>
      <c r="V20" s="42">
        <f>SUM(V21:V26)</f>
        <v>0</v>
      </c>
      <c r="W20" s="203">
        <f t="shared" si="3"/>
        <v>-488.26800000000003</v>
      </c>
      <c r="X20" s="203">
        <f t="shared" si="4"/>
        <v>0</v>
      </c>
    </row>
    <row r="21" spans="1:24" s="4" customFormat="1" ht="15" x14ac:dyDescent="0.2">
      <c r="A21" s="739" t="s">
        <v>523</v>
      </c>
      <c r="B21" s="125" t="s">
        <v>622</v>
      </c>
      <c r="C21" s="348" t="s">
        <v>605</v>
      </c>
      <c r="D21" s="348" t="s">
        <v>606</v>
      </c>
      <c r="E21" s="375">
        <v>9990091020</v>
      </c>
      <c r="F21" s="375" t="s">
        <v>129</v>
      </c>
      <c r="G21" s="43">
        <v>410.94448</v>
      </c>
      <c r="H21" s="43"/>
      <c r="I21" s="43">
        <v>760.69498999999996</v>
      </c>
      <c r="J21" s="43"/>
      <c r="K21" s="43">
        <f t="shared" si="0"/>
        <v>349.75050999999996</v>
      </c>
      <c r="L21" s="43">
        <f t="shared" si="1"/>
        <v>0</v>
      </c>
      <c r="M21" s="217">
        <f t="shared" si="5"/>
        <v>0</v>
      </c>
      <c r="N21" s="43">
        <f>408.2-94.7</f>
        <v>313.5</v>
      </c>
      <c r="P21" s="40">
        <f>G21+G23+G28+G29+G52+G54</f>
        <v>1276.9029999999998</v>
      </c>
      <c r="Q21" s="40"/>
      <c r="R21" s="43">
        <v>388.79399999999998</v>
      </c>
      <c r="S21" s="43"/>
      <c r="T21" s="217">
        <f t="shared" si="2"/>
        <v>349.75050999999996</v>
      </c>
      <c r="U21" s="43">
        <v>330.35199999999998</v>
      </c>
      <c r="V21" s="43">
        <v>0</v>
      </c>
      <c r="W21" s="203">
        <f t="shared" si="3"/>
        <v>-349.75050999999996</v>
      </c>
      <c r="X21" s="203">
        <f t="shared" si="4"/>
        <v>0</v>
      </c>
    </row>
    <row r="22" spans="1:24" s="4" customFormat="1" ht="15" x14ac:dyDescent="0.2">
      <c r="A22" s="739" t="s">
        <v>191</v>
      </c>
      <c r="B22" s="125" t="s">
        <v>622</v>
      </c>
      <c r="C22" s="348" t="s">
        <v>605</v>
      </c>
      <c r="D22" s="348" t="s">
        <v>606</v>
      </c>
      <c r="E22" s="375" t="s">
        <v>522</v>
      </c>
      <c r="F22" s="375" t="s">
        <v>636</v>
      </c>
      <c r="G22" s="43">
        <v>22</v>
      </c>
      <c r="H22" s="43"/>
      <c r="I22" s="43">
        <v>22</v>
      </c>
      <c r="J22" s="43"/>
      <c r="K22" s="43">
        <f t="shared" si="0"/>
        <v>0</v>
      </c>
      <c r="L22" s="43">
        <f t="shared" si="1"/>
        <v>0</v>
      </c>
      <c r="M22" s="217">
        <f t="shared" si="5"/>
        <v>0</v>
      </c>
      <c r="N22" s="43">
        <v>43.95</v>
      </c>
      <c r="P22" s="40">
        <f>G22+G24+G25+G26</f>
        <v>78</v>
      </c>
      <c r="R22" s="43">
        <v>47</v>
      </c>
      <c r="S22" s="43"/>
      <c r="T22" s="217">
        <f t="shared" si="2"/>
        <v>0</v>
      </c>
      <c r="U22" s="43">
        <v>24.45</v>
      </c>
      <c r="V22" s="43">
        <v>0</v>
      </c>
      <c r="W22" s="203">
        <f t="shared" si="3"/>
        <v>0</v>
      </c>
      <c r="X22" s="203">
        <f t="shared" si="4"/>
        <v>0</v>
      </c>
    </row>
    <row r="23" spans="1:24" s="4" customFormat="1" ht="25.5" x14ac:dyDescent="0.2">
      <c r="A23" s="739" t="s">
        <v>572</v>
      </c>
      <c r="B23" s="125" t="s">
        <v>622</v>
      </c>
      <c r="C23" s="348" t="s">
        <v>605</v>
      </c>
      <c r="D23" s="348" t="s">
        <v>606</v>
      </c>
      <c r="E23" s="375" t="s">
        <v>522</v>
      </c>
      <c r="F23" s="375" t="s">
        <v>524</v>
      </c>
      <c r="G23" s="43">
        <v>173.85930999999999</v>
      </c>
      <c r="H23" s="43"/>
      <c r="I23" s="43">
        <v>312.3768</v>
      </c>
      <c r="J23" s="43"/>
      <c r="K23" s="43">
        <f t="shared" si="0"/>
        <v>138.51749000000001</v>
      </c>
      <c r="L23" s="43">
        <f t="shared" si="1"/>
        <v>0</v>
      </c>
      <c r="M23" s="217">
        <f t="shared" si="5"/>
        <v>0</v>
      </c>
      <c r="N23" s="43">
        <v>94.7</v>
      </c>
      <c r="R23" s="43">
        <v>119.027</v>
      </c>
      <c r="S23" s="43"/>
      <c r="T23" s="217">
        <f t="shared" si="2"/>
        <v>138.51749000000001</v>
      </c>
      <c r="U23" s="43">
        <v>117.82899999999999</v>
      </c>
      <c r="V23" s="43">
        <v>0</v>
      </c>
      <c r="W23" s="203">
        <f t="shared" si="3"/>
        <v>-138.51749000000001</v>
      </c>
      <c r="X23" s="203">
        <f t="shared" si="4"/>
        <v>0</v>
      </c>
    </row>
    <row r="24" spans="1:24" s="4" customFormat="1" ht="15" x14ac:dyDescent="0.2">
      <c r="A24" s="739" t="s">
        <v>233</v>
      </c>
      <c r="B24" s="125" t="s">
        <v>622</v>
      </c>
      <c r="C24" s="348" t="s">
        <v>605</v>
      </c>
      <c r="D24" s="348" t="s">
        <v>606</v>
      </c>
      <c r="E24" s="375" t="s">
        <v>522</v>
      </c>
      <c r="F24" s="375" t="s">
        <v>635</v>
      </c>
      <c r="G24" s="43">
        <v>38</v>
      </c>
      <c r="H24" s="43"/>
      <c r="I24" s="43">
        <v>38</v>
      </c>
      <c r="J24" s="43"/>
      <c r="K24" s="43">
        <f t="shared" si="0"/>
        <v>0</v>
      </c>
      <c r="L24" s="43">
        <f t="shared" si="1"/>
        <v>0</v>
      </c>
      <c r="M24" s="217">
        <f t="shared" si="5"/>
        <v>0</v>
      </c>
      <c r="N24" s="43">
        <v>10.4</v>
      </c>
      <c r="R24" s="43">
        <v>8.6</v>
      </c>
      <c r="S24" s="43"/>
      <c r="T24" s="217">
        <f t="shared" si="2"/>
        <v>0</v>
      </c>
      <c r="U24" s="43">
        <v>34.654200000000003</v>
      </c>
      <c r="V24" s="43">
        <v>0</v>
      </c>
      <c r="W24" s="203">
        <f t="shared" si="3"/>
        <v>0</v>
      </c>
      <c r="X24" s="203">
        <f t="shared" si="4"/>
        <v>0</v>
      </c>
    </row>
    <row r="25" spans="1:24" s="4" customFormat="1" ht="15" x14ac:dyDescent="0.2">
      <c r="A25" s="739" t="s">
        <v>834</v>
      </c>
      <c r="B25" s="125" t="s">
        <v>622</v>
      </c>
      <c r="C25" s="348" t="s">
        <v>605</v>
      </c>
      <c r="D25" s="348" t="s">
        <v>606</v>
      </c>
      <c r="E25" s="375" t="s">
        <v>522</v>
      </c>
      <c r="F25" s="375" t="s">
        <v>634</v>
      </c>
      <c r="G25" s="43">
        <v>18</v>
      </c>
      <c r="H25" s="43"/>
      <c r="I25" s="43">
        <v>18</v>
      </c>
      <c r="J25" s="43"/>
      <c r="K25" s="43">
        <f t="shared" si="0"/>
        <v>0</v>
      </c>
      <c r="L25" s="43">
        <f t="shared" si="1"/>
        <v>0</v>
      </c>
      <c r="M25" s="217">
        <f t="shared" si="5"/>
        <v>0</v>
      </c>
      <c r="N25" s="43">
        <v>15.9</v>
      </c>
      <c r="R25" s="43">
        <v>4.5</v>
      </c>
      <c r="S25" s="43"/>
      <c r="T25" s="217">
        <f t="shared" si="2"/>
        <v>0</v>
      </c>
      <c r="U25" s="43">
        <v>53.5</v>
      </c>
      <c r="V25" s="43">
        <v>0</v>
      </c>
      <c r="W25" s="203">
        <f t="shared" si="3"/>
        <v>0</v>
      </c>
      <c r="X25" s="203">
        <f t="shared" si="4"/>
        <v>0</v>
      </c>
    </row>
    <row r="26" spans="1:24" s="4" customFormat="1" ht="15" hidden="1" x14ac:dyDescent="0.2">
      <c r="A26" s="124" t="s">
        <v>303</v>
      </c>
      <c r="B26" s="125" t="s">
        <v>622</v>
      </c>
      <c r="C26" s="348" t="s">
        <v>605</v>
      </c>
      <c r="D26" s="348" t="s">
        <v>606</v>
      </c>
      <c r="E26" s="375" t="s">
        <v>522</v>
      </c>
      <c r="F26" s="375" t="s">
        <v>302</v>
      </c>
      <c r="G26" s="43"/>
      <c r="H26" s="43"/>
      <c r="I26" s="43"/>
      <c r="J26" s="43"/>
      <c r="K26" s="43">
        <f t="shared" si="0"/>
        <v>0</v>
      </c>
      <c r="L26" s="43">
        <f t="shared" si="1"/>
        <v>0</v>
      </c>
      <c r="M26" s="217">
        <f t="shared" si="5"/>
        <v>0</v>
      </c>
      <c r="N26" s="43"/>
      <c r="R26" s="43">
        <v>19.7</v>
      </c>
      <c r="S26" s="43"/>
      <c r="T26" s="217">
        <f t="shared" si="2"/>
        <v>0</v>
      </c>
      <c r="U26" s="43">
        <v>19.5458</v>
      </c>
      <c r="V26" s="43">
        <v>0</v>
      </c>
      <c r="W26" s="203">
        <f t="shared" si="3"/>
        <v>0</v>
      </c>
      <c r="X26" s="203">
        <f t="shared" si="4"/>
        <v>0</v>
      </c>
    </row>
    <row r="27" spans="1:24" s="4" customFormat="1" ht="15" x14ac:dyDescent="0.2">
      <c r="A27" s="740" t="s">
        <v>38</v>
      </c>
      <c r="B27" s="67" t="s">
        <v>622</v>
      </c>
      <c r="C27" s="347" t="s">
        <v>605</v>
      </c>
      <c r="D27" s="347" t="s">
        <v>606</v>
      </c>
      <c r="E27" s="374" t="s">
        <v>525</v>
      </c>
      <c r="F27" s="374"/>
      <c r="G27" s="42">
        <f>SUM(G28:G29)</f>
        <v>435.233</v>
      </c>
      <c r="H27" s="42">
        <f>H28</f>
        <v>0</v>
      </c>
      <c r="I27" s="42">
        <f>SUM(I28:I29)</f>
        <v>232.36803</v>
      </c>
      <c r="J27" s="42">
        <f>J28</f>
        <v>0</v>
      </c>
      <c r="K27" s="42">
        <f t="shared" si="0"/>
        <v>-202.86497</v>
      </c>
      <c r="L27" s="42">
        <f t="shared" si="1"/>
        <v>0</v>
      </c>
      <c r="M27" s="217">
        <f t="shared" si="5"/>
        <v>0</v>
      </c>
      <c r="N27" s="42">
        <f>SUM(N28:N29)</f>
        <v>1111.45</v>
      </c>
      <c r="R27" s="42">
        <f>SUM(R28:R29)</f>
        <v>358.726</v>
      </c>
      <c r="S27" s="42">
        <f>S28</f>
        <v>0</v>
      </c>
      <c r="T27" s="217">
        <f t="shared" si="2"/>
        <v>-202.86497</v>
      </c>
      <c r="U27" s="42">
        <f>SUM(U28:U29)</f>
        <v>1034.086</v>
      </c>
      <c r="V27" s="42">
        <f>V28</f>
        <v>0</v>
      </c>
      <c r="W27" s="203">
        <f t="shared" si="3"/>
        <v>202.86497</v>
      </c>
      <c r="X27" s="203">
        <f t="shared" si="4"/>
        <v>0</v>
      </c>
    </row>
    <row r="28" spans="1:24" s="4" customFormat="1" ht="15" x14ac:dyDescent="0.2">
      <c r="A28" s="739" t="s">
        <v>523</v>
      </c>
      <c r="B28" s="125" t="s">
        <v>622</v>
      </c>
      <c r="C28" s="348" t="s">
        <v>605</v>
      </c>
      <c r="D28" s="348" t="s">
        <v>606</v>
      </c>
      <c r="E28" s="375" t="s">
        <v>525</v>
      </c>
      <c r="F28" s="375" t="s">
        <v>129</v>
      </c>
      <c r="G28" s="43">
        <v>349.64100000000002</v>
      </c>
      <c r="H28" s="43"/>
      <c r="I28" s="43">
        <v>176.21197000000001</v>
      </c>
      <c r="J28" s="43"/>
      <c r="K28" s="43">
        <f t="shared" si="0"/>
        <v>-173.42903000000001</v>
      </c>
      <c r="L28" s="43">
        <f t="shared" si="1"/>
        <v>0</v>
      </c>
      <c r="M28" s="217">
        <f t="shared" si="5"/>
        <v>0</v>
      </c>
      <c r="N28" s="43">
        <v>843.45</v>
      </c>
      <c r="R28" s="43">
        <v>271.55099999999999</v>
      </c>
      <c r="S28" s="43"/>
      <c r="T28" s="217">
        <f t="shared" si="2"/>
        <v>-173.42903000000001</v>
      </c>
      <c r="U28" s="43">
        <v>786.86278000000004</v>
      </c>
      <c r="V28" s="43">
        <v>0</v>
      </c>
      <c r="W28" s="203">
        <f t="shared" si="3"/>
        <v>173.42903000000001</v>
      </c>
      <c r="X28" s="203">
        <f t="shared" si="4"/>
        <v>0</v>
      </c>
    </row>
    <row r="29" spans="1:24" s="4" customFormat="1" ht="25.5" x14ac:dyDescent="0.2">
      <c r="A29" s="739" t="s">
        <v>572</v>
      </c>
      <c r="B29" s="125" t="s">
        <v>622</v>
      </c>
      <c r="C29" s="348" t="s">
        <v>605</v>
      </c>
      <c r="D29" s="348" t="s">
        <v>606</v>
      </c>
      <c r="E29" s="375" t="s">
        <v>525</v>
      </c>
      <c r="F29" s="375" t="s">
        <v>524</v>
      </c>
      <c r="G29" s="43">
        <v>85.591999999999999</v>
      </c>
      <c r="H29" s="43"/>
      <c r="I29" s="43">
        <v>56.156059999999997</v>
      </c>
      <c r="J29" s="43"/>
      <c r="K29" s="43">
        <f t="shared" si="0"/>
        <v>-29.435940000000002</v>
      </c>
      <c r="L29" s="43">
        <f t="shared" si="1"/>
        <v>0</v>
      </c>
      <c r="M29" s="217">
        <f t="shared" si="5"/>
        <v>0</v>
      </c>
      <c r="N29" s="43">
        <v>268</v>
      </c>
      <c r="R29" s="43">
        <v>87.174999999999997</v>
      </c>
      <c r="S29" s="43"/>
      <c r="T29" s="217">
        <f t="shared" si="2"/>
        <v>-29.435940000000002</v>
      </c>
      <c r="U29" s="43">
        <v>247.22322</v>
      </c>
      <c r="V29" s="43">
        <v>0</v>
      </c>
      <c r="W29" s="203">
        <f t="shared" si="3"/>
        <v>29.435940000000002</v>
      </c>
      <c r="X29" s="203">
        <f t="shared" si="4"/>
        <v>0</v>
      </c>
    </row>
    <row r="30" spans="1:24" s="4" customFormat="1" ht="15" x14ac:dyDescent="0.2">
      <c r="A30" s="741" t="s">
        <v>229</v>
      </c>
      <c r="B30" s="131" t="s">
        <v>622</v>
      </c>
      <c r="C30" s="349" t="s">
        <v>605</v>
      </c>
      <c r="D30" s="349" t="s">
        <v>606</v>
      </c>
      <c r="E30" s="376" t="s">
        <v>526</v>
      </c>
      <c r="F30" s="376"/>
      <c r="G30" s="42">
        <f>G31+G32</f>
        <v>419.4</v>
      </c>
      <c r="H30" s="42">
        <f>H31+H32</f>
        <v>0</v>
      </c>
      <c r="I30" s="42">
        <f>I31+I32</f>
        <v>419.4</v>
      </c>
      <c r="J30" s="42">
        <f>J31+J32</f>
        <v>0</v>
      </c>
      <c r="K30" s="42">
        <f t="shared" si="0"/>
        <v>0</v>
      </c>
      <c r="L30" s="42">
        <f t="shared" si="1"/>
        <v>0</v>
      </c>
      <c r="M30" s="217">
        <f t="shared" si="5"/>
        <v>0</v>
      </c>
      <c r="N30" s="42">
        <f>N31+N32</f>
        <v>71.599999999999994</v>
      </c>
      <c r="R30" s="42">
        <f>R31+R32</f>
        <v>361.3</v>
      </c>
      <c r="S30" s="42">
        <f>S31+S32</f>
        <v>0</v>
      </c>
      <c r="T30" s="217">
        <f t="shared" si="2"/>
        <v>0</v>
      </c>
      <c r="U30" s="42">
        <f>U31+U32</f>
        <v>100.5</v>
      </c>
      <c r="V30" s="42">
        <f>V31+V32</f>
        <v>0</v>
      </c>
      <c r="W30" s="203">
        <f t="shared" si="3"/>
        <v>0</v>
      </c>
      <c r="X30" s="203">
        <f t="shared" si="4"/>
        <v>0</v>
      </c>
    </row>
    <row r="31" spans="1:24" s="4" customFormat="1" ht="25.5" x14ac:dyDescent="0.2">
      <c r="A31" s="739" t="s">
        <v>527</v>
      </c>
      <c r="B31" s="125" t="s">
        <v>622</v>
      </c>
      <c r="C31" s="348" t="s">
        <v>605</v>
      </c>
      <c r="D31" s="348" t="s">
        <v>606</v>
      </c>
      <c r="E31" s="375" t="s">
        <v>526</v>
      </c>
      <c r="F31" s="375" t="s">
        <v>528</v>
      </c>
      <c r="G31" s="43">
        <f>326.4+93</f>
        <v>419.4</v>
      </c>
      <c r="H31" s="43"/>
      <c r="I31" s="43">
        <f>326.4+93</f>
        <v>419.4</v>
      </c>
      <c r="J31" s="43"/>
      <c r="K31" s="43">
        <f t="shared" si="0"/>
        <v>0</v>
      </c>
      <c r="L31" s="43">
        <f t="shared" si="1"/>
        <v>0</v>
      </c>
      <c r="M31" s="217">
        <f t="shared" si="5"/>
        <v>0</v>
      </c>
      <c r="N31" s="43">
        <v>20</v>
      </c>
      <c r="R31" s="43">
        <v>361.3</v>
      </c>
      <c r="S31" s="43"/>
      <c r="T31" s="217">
        <f t="shared" si="2"/>
        <v>0</v>
      </c>
      <c r="U31" s="43">
        <v>100.5</v>
      </c>
      <c r="V31" s="43">
        <v>0</v>
      </c>
      <c r="W31" s="203">
        <f t="shared" si="3"/>
        <v>0</v>
      </c>
      <c r="X31" s="203">
        <f t="shared" si="4"/>
        <v>0</v>
      </c>
    </row>
    <row r="32" spans="1:24" s="4" customFormat="1" ht="16.5" hidden="1" customHeight="1" x14ac:dyDescent="0.2">
      <c r="A32" s="124" t="s">
        <v>834</v>
      </c>
      <c r="B32" s="125" t="s">
        <v>622</v>
      </c>
      <c r="C32" s="348" t="s">
        <v>605</v>
      </c>
      <c r="D32" s="348" t="s">
        <v>606</v>
      </c>
      <c r="E32" s="375" t="s">
        <v>526</v>
      </c>
      <c r="F32" s="375" t="s">
        <v>634</v>
      </c>
      <c r="G32" s="43"/>
      <c r="H32" s="43"/>
      <c r="I32" s="43"/>
      <c r="J32" s="43"/>
      <c r="K32" s="43">
        <f t="shared" si="0"/>
        <v>0</v>
      </c>
      <c r="L32" s="43">
        <f t="shared" si="1"/>
        <v>0</v>
      </c>
      <c r="M32" s="217">
        <f t="shared" si="5"/>
        <v>0</v>
      </c>
      <c r="N32" s="43">
        <v>51.6</v>
      </c>
      <c r="R32" s="43"/>
      <c r="S32" s="43"/>
      <c r="T32" s="217">
        <f t="shared" si="2"/>
        <v>0</v>
      </c>
      <c r="U32" s="43"/>
      <c r="V32" s="43"/>
      <c r="W32" s="203">
        <f t="shared" si="3"/>
        <v>0</v>
      </c>
      <c r="X32" s="203">
        <f t="shared" si="4"/>
        <v>0</v>
      </c>
    </row>
    <row r="33" spans="1:24" s="4" customFormat="1" ht="15" hidden="1" x14ac:dyDescent="0.2">
      <c r="A33" s="133" t="s">
        <v>1050</v>
      </c>
      <c r="B33" s="131" t="s">
        <v>622</v>
      </c>
      <c r="C33" s="349" t="s">
        <v>605</v>
      </c>
      <c r="D33" s="349" t="s">
        <v>606</v>
      </c>
      <c r="E33" s="376" t="s">
        <v>1049</v>
      </c>
      <c r="F33" s="376"/>
      <c r="G33" s="42">
        <f>G34+G35</f>
        <v>0</v>
      </c>
      <c r="H33" s="42">
        <f>H34+H35</f>
        <v>0</v>
      </c>
      <c r="I33" s="42">
        <f>I34+I35</f>
        <v>0</v>
      </c>
      <c r="J33" s="42">
        <f>J34+J35</f>
        <v>0</v>
      </c>
      <c r="K33" s="42">
        <f t="shared" si="0"/>
        <v>0</v>
      </c>
      <c r="L33" s="42">
        <f t="shared" si="1"/>
        <v>0</v>
      </c>
      <c r="M33" s="217">
        <f t="shared" si="5"/>
        <v>0</v>
      </c>
      <c r="N33" s="43"/>
      <c r="R33" s="42">
        <f>R34+R35</f>
        <v>1086.1869999999999</v>
      </c>
      <c r="S33" s="42">
        <f>S34+S35</f>
        <v>0</v>
      </c>
      <c r="T33" s="217"/>
      <c r="U33" s="42">
        <f>U34+U35</f>
        <v>340.21000000000004</v>
      </c>
      <c r="V33" s="42">
        <f>V34+V35</f>
        <v>0</v>
      </c>
      <c r="W33" s="203">
        <f t="shared" si="3"/>
        <v>0</v>
      </c>
      <c r="X33" s="203">
        <f t="shared" si="4"/>
        <v>0</v>
      </c>
    </row>
    <row r="34" spans="1:24" s="4" customFormat="1" ht="15" hidden="1" x14ac:dyDescent="0.2">
      <c r="A34" s="124" t="s">
        <v>523</v>
      </c>
      <c r="B34" s="125" t="s">
        <v>622</v>
      </c>
      <c r="C34" s="348" t="s">
        <v>605</v>
      </c>
      <c r="D34" s="348" t="s">
        <v>606</v>
      </c>
      <c r="E34" s="375" t="s">
        <v>1049</v>
      </c>
      <c r="F34" s="375" t="s">
        <v>129</v>
      </c>
      <c r="G34" s="43"/>
      <c r="H34" s="43"/>
      <c r="I34" s="43"/>
      <c r="J34" s="43"/>
      <c r="K34" s="43">
        <f t="shared" si="0"/>
        <v>0</v>
      </c>
      <c r="L34" s="43">
        <f t="shared" si="1"/>
        <v>0</v>
      </c>
      <c r="M34" s="217">
        <f t="shared" si="5"/>
        <v>0</v>
      </c>
      <c r="N34" s="43"/>
      <c r="R34" s="43">
        <v>834.245</v>
      </c>
      <c r="S34" s="43"/>
      <c r="T34" s="217"/>
      <c r="U34" s="43">
        <v>261.98500000000001</v>
      </c>
      <c r="V34" s="43"/>
      <c r="W34" s="203">
        <f t="shared" si="3"/>
        <v>0</v>
      </c>
      <c r="X34" s="203">
        <f t="shared" si="4"/>
        <v>0</v>
      </c>
    </row>
    <row r="35" spans="1:24" s="4" customFormat="1" ht="25.5" hidden="1" x14ac:dyDescent="0.2">
      <c r="A35" s="124" t="s">
        <v>572</v>
      </c>
      <c r="B35" s="125" t="s">
        <v>622</v>
      </c>
      <c r="C35" s="348" t="s">
        <v>605</v>
      </c>
      <c r="D35" s="348" t="s">
        <v>606</v>
      </c>
      <c r="E35" s="375" t="s">
        <v>1049</v>
      </c>
      <c r="F35" s="375" t="s">
        <v>524</v>
      </c>
      <c r="G35" s="43"/>
      <c r="H35" s="43"/>
      <c r="I35" s="43"/>
      <c r="J35" s="43"/>
      <c r="K35" s="43">
        <f t="shared" si="0"/>
        <v>0</v>
      </c>
      <c r="L35" s="43">
        <f t="shared" si="1"/>
        <v>0</v>
      </c>
      <c r="M35" s="217">
        <f t="shared" si="5"/>
        <v>0</v>
      </c>
      <c r="N35" s="43"/>
      <c r="R35" s="43">
        <v>251.94200000000001</v>
      </c>
      <c r="S35" s="43"/>
      <c r="T35" s="217"/>
      <c r="U35" s="43">
        <v>78.224999999999994</v>
      </c>
      <c r="V35" s="43"/>
      <c r="W35" s="203">
        <f t="shared" si="3"/>
        <v>0</v>
      </c>
      <c r="X35" s="203">
        <f t="shared" si="4"/>
        <v>0</v>
      </c>
    </row>
    <row r="36" spans="1:24" s="4" customFormat="1" ht="15" x14ac:dyDescent="0.2">
      <c r="A36" s="741" t="s">
        <v>1383</v>
      </c>
      <c r="B36" s="131" t="s">
        <v>622</v>
      </c>
      <c r="C36" s="349" t="s">
        <v>605</v>
      </c>
      <c r="D36" s="349" t="s">
        <v>606</v>
      </c>
      <c r="E36" s="376" t="s">
        <v>1268</v>
      </c>
      <c r="F36" s="376"/>
      <c r="G36" s="42">
        <f>G37+G38</f>
        <v>1051.807</v>
      </c>
      <c r="H36" s="42">
        <f>H37+H38</f>
        <v>0</v>
      </c>
      <c r="I36" s="42">
        <f>I37+I38</f>
        <v>1051.807</v>
      </c>
      <c r="J36" s="42">
        <f>J37+J38</f>
        <v>0</v>
      </c>
      <c r="K36" s="42">
        <f t="shared" si="0"/>
        <v>0</v>
      </c>
      <c r="L36" s="42">
        <f t="shared" si="1"/>
        <v>0</v>
      </c>
      <c r="M36" s="217"/>
      <c r="N36" s="43"/>
      <c r="R36" s="43"/>
      <c r="S36" s="43"/>
      <c r="T36" s="217"/>
      <c r="U36" s="43"/>
      <c r="V36" s="43"/>
      <c r="W36" s="203"/>
      <c r="X36" s="203"/>
    </row>
    <row r="37" spans="1:24" s="4" customFormat="1" ht="15" x14ac:dyDescent="0.2">
      <c r="A37" s="739" t="s">
        <v>523</v>
      </c>
      <c r="B37" s="125" t="s">
        <v>622</v>
      </c>
      <c r="C37" s="348" t="s">
        <v>605</v>
      </c>
      <c r="D37" s="348" t="s">
        <v>606</v>
      </c>
      <c r="E37" s="375" t="s">
        <v>1268</v>
      </c>
      <c r="F37" s="375" t="s">
        <v>129</v>
      </c>
      <c r="G37" s="43">
        <v>807.83900000000006</v>
      </c>
      <c r="H37" s="43"/>
      <c r="I37" s="43">
        <v>807.83900000000006</v>
      </c>
      <c r="J37" s="43"/>
      <c r="K37" s="43">
        <f t="shared" si="0"/>
        <v>0</v>
      </c>
      <c r="L37" s="43">
        <f t="shared" si="1"/>
        <v>0</v>
      </c>
      <c r="M37" s="217"/>
      <c r="N37" s="43"/>
      <c r="R37" s="43"/>
      <c r="S37" s="43"/>
      <c r="T37" s="217"/>
      <c r="U37" s="43"/>
      <c r="V37" s="43"/>
      <c r="W37" s="203"/>
      <c r="X37" s="203"/>
    </row>
    <row r="38" spans="1:24" s="4" customFormat="1" ht="25.5" x14ac:dyDescent="0.2">
      <c r="A38" s="739" t="s">
        <v>572</v>
      </c>
      <c r="B38" s="125" t="s">
        <v>622</v>
      </c>
      <c r="C38" s="348" t="s">
        <v>605</v>
      </c>
      <c r="D38" s="348" t="s">
        <v>606</v>
      </c>
      <c r="E38" s="375" t="s">
        <v>1268</v>
      </c>
      <c r="F38" s="375" t="s">
        <v>524</v>
      </c>
      <c r="G38" s="43">
        <v>243.96799999999999</v>
      </c>
      <c r="H38" s="43"/>
      <c r="I38" s="43">
        <v>243.96799999999999</v>
      </c>
      <c r="J38" s="43"/>
      <c r="K38" s="43">
        <f t="shared" si="0"/>
        <v>0</v>
      </c>
      <c r="L38" s="43">
        <f t="shared" si="1"/>
        <v>0</v>
      </c>
      <c r="M38" s="217"/>
      <c r="N38" s="43"/>
      <c r="R38" s="43"/>
      <c r="S38" s="43"/>
      <c r="T38" s="217"/>
      <c r="U38" s="43"/>
      <c r="V38" s="43"/>
      <c r="W38" s="203"/>
      <c r="X38" s="203"/>
    </row>
    <row r="39" spans="1:24" s="4" customFormat="1" ht="25.5" x14ac:dyDescent="0.2">
      <c r="A39" s="741" t="s">
        <v>2004</v>
      </c>
      <c r="B39" s="131" t="s">
        <v>622</v>
      </c>
      <c r="C39" s="349" t="s">
        <v>605</v>
      </c>
      <c r="D39" s="349" t="s">
        <v>606</v>
      </c>
      <c r="E39" s="376" t="s">
        <v>2003</v>
      </c>
      <c r="F39" s="376"/>
      <c r="G39" s="42">
        <f>G40+G41</f>
        <v>0</v>
      </c>
      <c r="H39" s="42">
        <f>H40+H41</f>
        <v>0</v>
      </c>
      <c r="I39" s="42">
        <f>I40+I41</f>
        <v>710.75196999999991</v>
      </c>
      <c r="J39" s="42">
        <f>J40+J41</f>
        <v>0</v>
      </c>
      <c r="K39" s="42">
        <f t="shared" ref="K39:K41" si="11">I39-G39</f>
        <v>710.75196999999991</v>
      </c>
      <c r="L39" s="42">
        <f t="shared" ref="L39:L41" si="12">J39-H39</f>
        <v>0</v>
      </c>
      <c r="M39" s="217"/>
      <c r="N39" s="43"/>
      <c r="R39" s="43"/>
      <c r="S39" s="43"/>
      <c r="T39" s="217"/>
      <c r="U39" s="43"/>
      <c r="V39" s="43"/>
      <c r="W39" s="203"/>
      <c r="X39" s="203"/>
    </row>
    <row r="40" spans="1:24" s="4" customFormat="1" ht="15" x14ac:dyDescent="0.2">
      <c r="A40" s="739" t="s">
        <v>523</v>
      </c>
      <c r="B40" s="125" t="s">
        <v>622</v>
      </c>
      <c r="C40" s="348" t="s">
        <v>605</v>
      </c>
      <c r="D40" s="348" t="s">
        <v>606</v>
      </c>
      <c r="E40" s="375" t="s">
        <v>2003</v>
      </c>
      <c r="F40" s="375" t="s">
        <v>129</v>
      </c>
      <c r="G40" s="43"/>
      <c r="H40" s="43"/>
      <c r="I40" s="43">
        <v>524.98461999999995</v>
      </c>
      <c r="J40" s="43"/>
      <c r="K40" s="43">
        <f t="shared" si="11"/>
        <v>524.98461999999995</v>
      </c>
      <c r="L40" s="43">
        <f t="shared" si="12"/>
        <v>0</v>
      </c>
      <c r="M40" s="217"/>
      <c r="N40" s="43"/>
      <c r="R40" s="43"/>
      <c r="S40" s="43"/>
      <c r="T40" s="217"/>
      <c r="U40" s="43"/>
      <c r="V40" s="43"/>
      <c r="W40" s="203"/>
      <c r="X40" s="203"/>
    </row>
    <row r="41" spans="1:24" s="4" customFormat="1" ht="25.5" x14ac:dyDescent="0.2">
      <c r="A41" s="739" t="s">
        <v>572</v>
      </c>
      <c r="B41" s="125" t="s">
        <v>622</v>
      </c>
      <c r="C41" s="348" t="s">
        <v>605</v>
      </c>
      <c r="D41" s="348" t="s">
        <v>606</v>
      </c>
      <c r="E41" s="375" t="s">
        <v>2003</v>
      </c>
      <c r="F41" s="375" t="s">
        <v>524</v>
      </c>
      <c r="G41" s="43"/>
      <c r="H41" s="43"/>
      <c r="I41" s="43">
        <v>185.76734999999999</v>
      </c>
      <c r="J41" s="43"/>
      <c r="K41" s="43">
        <f t="shared" si="11"/>
        <v>185.76734999999999</v>
      </c>
      <c r="L41" s="43">
        <f t="shared" si="12"/>
        <v>0</v>
      </c>
      <c r="M41" s="217"/>
      <c r="N41" s="43"/>
      <c r="R41" s="43"/>
      <c r="S41" s="43"/>
      <c r="T41" s="217"/>
      <c r="U41" s="43"/>
      <c r="V41" s="43"/>
      <c r="W41" s="203"/>
      <c r="X41" s="203"/>
    </row>
    <row r="42" spans="1:24" s="4" customFormat="1" ht="25.5" x14ac:dyDescent="0.2">
      <c r="A42" s="740" t="s">
        <v>458</v>
      </c>
      <c r="B42" s="67" t="s">
        <v>622</v>
      </c>
      <c r="C42" s="347" t="s">
        <v>605</v>
      </c>
      <c r="D42" s="347" t="s">
        <v>607</v>
      </c>
      <c r="E42" s="374"/>
      <c r="F42" s="374"/>
      <c r="G42" s="42">
        <f>G43</f>
        <v>1320.5410900000002</v>
      </c>
      <c r="H42" s="42">
        <f>H43</f>
        <v>0</v>
      </c>
      <c r="I42" s="42">
        <f>I43</f>
        <v>1616.2690900000002</v>
      </c>
      <c r="J42" s="42">
        <f>J43</f>
        <v>12</v>
      </c>
      <c r="K42" s="42">
        <f t="shared" si="0"/>
        <v>295.72800000000007</v>
      </c>
      <c r="L42" s="42">
        <f t="shared" si="1"/>
        <v>12</v>
      </c>
      <c r="M42" s="217">
        <f t="shared" si="5"/>
        <v>0</v>
      </c>
      <c r="N42" s="42">
        <f>N43</f>
        <v>967.06</v>
      </c>
      <c r="R42" s="42">
        <f>R43</f>
        <v>1246.6735800000001</v>
      </c>
      <c r="S42" s="42">
        <f>S43</f>
        <v>0</v>
      </c>
      <c r="T42" s="217">
        <f t="shared" ref="T42:T55" si="13">I42-G42</f>
        <v>295.72800000000007</v>
      </c>
      <c r="U42" s="42">
        <f>U43</f>
        <v>1295.9732299999998</v>
      </c>
      <c r="V42" s="42">
        <f>V43</f>
        <v>0</v>
      </c>
      <c r="W42" s="203">
        <f t="shared" si="3"/>
        <v>-295.72800000000007</v>
      </c>
      <c r="X42" s="203">
        <f t="shared" si="4"/>
        <v>0</v>
      </c>
    </row>
    <row r="43" spans="1:24" s="4" customFormat="1" ht="15" x14ac:dyDescent="0.2">
      <c r="A43" s="740" t="s">
        <v>65</v>
      </c>
      <c r="B43" s="67" t="s">
        <v>622</v>
      </c>
      <c r="C43" s="347" t="s">
        <v>605</v>
      </c>
      <c r="D43" s="347" t="s">
        <v>607</v>
      </c>
      <c r="E43" s="374" t="s">
        <v>312</v>
      </c>
      <c r="F43" s="374"/>
      <c r="G43" s="42">
        <f>G51+G47+G56+G59+G44+G62</f>
        <v>1320.5410900000002</v>
      </c>
      <c r="H43" s="42">
        <f t="shared" ref="H43:L43" si="14">H51+H47+H56+H59+H44+H62</f>
        <v>0</v>
      </c>
      <c r="I43" s="42">
        <f t="shared" si="14"/>
        <v>1616.2690900000002</v>
      </c>
      <c r="J43" s="42">
        <f t="shared" si="14"/>
        <v>12</v>
      </c>
      <c r="K43" s="42">
        <f t="shared" si="14"/>
        <v>295.72800000000007</v>
      </c>
      <c r="L43" s="42">
        <f t="shared" si="14"/>
        <v>12</v>
      </c>
      <c r="M43" s="217">
        <f t="shared" si="5"/>
        <v>0</v>
      </c>
      <c r="N43" s="42">
        <f>N51+N47</f>
        <v>967.06</v>
      </c>
      <c r="R43" s="42">
        <f>R51+R47+R56</f>
        <v>1246.6735800000001</v>
      </c>
      <c r="S43" s="42">
        <f>S51+S47+S56</f>
        <v>0</v>
      </c>
      <c r="T43" s="217">
        <f t="shared" si="13"/>
        <v>295.72800000000007</v>
      </c>
      <c r="U43" s="42">
        <f>U51+U47+U56</f>
        <v>1295.9732299999998</v>
      </c>
      <c r="V43" s="42">
        <f>V51+V47+V56</f>
        <v>0</v>
      </c>
      <c r="W43" s="203">
        <f t="shared" si="3"/>
        <v>-295.72800000000007</v>
      </c>
      <c r="X43" s="203">
        <f t="shared" si="4"/>
        <v>0</v>
      </c>
    </row>
    <row r="44" spans="1:24" s="4" customFormat="1" ht="15" x14ac:dyDescent="0.2">
      <c r="A44" s="742" t="s">
        <v>2002</v>
      </c>
      <c r="B44" s="67" t="s">
        <v>622</v>
      </c>
      <c r="C44" s="350" t="s">
        <v>605</v>
      </c>
      <c r="D44" s="350" t="s">
        <v>607</v>
      </c>
      <c r="E44" s="377">
        <v>9990055493</v>
      </c>
      <c r="F44" s="377"/>
      <c r="G44" s="42">
        <f>G45+G46</f>
        <v>0</v>
      </c>
      <c r="H44" s="42">
        <f t="shared" ref="H44:L44" si="15">H45+H46</f>
        <v>0</v>
      </c>
      <c r="I44" s="42">
        <f t="shared" si="15"/>
        <v>12</v>
      </c>
      <c r="J44" s="42">
        <f t="shared" si="15"/>
        <v>12</v>
      </c>
      <c r="K44" s="42">
        <f t="shared" si="15"/>
        <v>12</v>
      </c>
      <c r="L44" s="42">
        <f t="shared" si="15"/>
        <v>12</v>
      </c>
      <c r="M44" s="217"/>
      <c r="N44" s="42"/>
      <c r="R44" s="42"/>
      <c r="S44" s="42"/>
      <c r="T44" s="217"/>
      <c r="U44" s="42"/>
      <c r="V44" s="42"/>
      <c r="W44" s="203"/>
      <c r="X44" s="203"/>
    </row>
    <row r="45" spans="1:24" s="4" customFormat="1" ht="15" x14ac:dyDescent="0.2">
      <c r="A45" s="739" t="s">
        <v>529</v>
      </c>
      <c r="B45" s="68" t="s">
        <v>622</v>
      </c>
      <c r="C45" s="351" t="s">
        <v>605</v>
      </c>
      <c r="D45" s="351" t="s">
        <v>607</v>
      </c>
      <c r="E45" s="378">
        <v>9990055493</v>
      </c>
      <c r="F45" s="378" t="s">
        <v>129</v>
      </c>
      <c r="G45" s="43"/>
      <c r="H45" s="43"/>
      <c r="I45" s="43">
        <v>9.2165900000000001</v>
      </c>
      <c r="J45" s="43">
        <v>9.2165900000000001</v>
      </c>
      <c r="K45" s="43">
        <f t="shared" ref="K45:K46" si="16">I45-G45</f>
        <v>9.2165900000000001</v>
      </c>
      <c r="L45" s="43">
        <f t="shared" ref="L45:L46" si="17">J45-H45</f>
        <v>9.2165900000000001</v>
      </c>
      <c r="M45" s="217"/>
      <c r="N45" s="42"/>
      <c r="R45" s="42"/>
      <c r="S45" s="42"/>
      <c r="T45" s="217"/>
      <c r="U45" s="42"/>
      <c r="V45" s="42"/>
      <c r="W45" s="203"/>
      <c r="X45" s="203"/>
    </row>
    <row r="46" spans="1:24" s="4" customFormat="1" ht="25.5" x14ac:dyDescent="0.2">
      <c r="A46" s="739" t="s">
        <v>572</v>
      </c>
      <c r="B46" s="68" t="s">
        <v>622</v>
      </c>
      <c r="C46" s="351" t="s">
        <v>605</v>
      </c>
      <c r="D46" s="351" t="s">
        <v>607</v>
      </c>
      <c r="E46" s="378">
        <v>9990055493</v>
      </c>
      <c r="F46" s="378" t="s">
        <v>524</v>
      </c>
      <c r="G46" s="43"/>
      <c r="H46" s="43"/>
      <c r="I46" s="43">
        <v>2.7834099999999999</v>
      </c>
      <c r="J46" s="43">
        <v>2.7834099999999999</v>
      </c>
      <c r="K46" s="43">
        <f t="shared" si="16"/>
        <v>2.7834099999999999</v>
      </c>
      <c r="L46" s="43">
        <f t="shared" si="17"/>
        <v>2.7834099999999999</v>
      </c>
      <c r="M46" s="217"/>
      <c r="N46" s="42"/>
      <c r="R46" s="42"/>
      <c r="S46" s="42"/>
      <c r="T46" s="217"/>
      <c r="U46" s="42"/>
      <c r="V46" s="42"/>
      <c r="W46" s="203"/>
      <c r="X46" s="203"/>
    </row>
    <row r="47" spans="1:24" s="4" customFormat="1" ht="15" x14ac:dyDescent="0.2">
      <c r="A47" s="742" t="s">
        <v>209</v>
      </c>
      <c r="B47" s="67" t="s">
        <v>622</v>
      </c>
      <c r="C47" s="350" t="s">
        <v>605</v>
      </c>
      <c r="D47" s="350" t="s">
        <v>607</v>
      </c>
      <c r="E47" s="377" t="s">
        <v>501</v>
      </c>
      <c r="F47" s="377"/>
      <c r="G47" s="42">
        <f>SUM(G48:G50)</f>
        <v>555.75588000000005</v>
      </c>
      <c r="H47" s="42">
        <f>SUM(H48:H50)</f>
        <v>0</v>
      </c>
      <c r="I47" s="42">
        <f>SUM(I48:I50)</f>
        <v>580.75588000000005</v>
      </c>
      <c r="J47" s="42">
        <f>SUM(J48:J50)</f>
        <v>0</v>
      </c>
      <c r="K47" s="42">
        <f t="shared" si="0"/>
        <v>25</v>
      </c>
      <c r="L47" s="42">
        <f t="shared" si="1"/>
        <v>0</v>
      </c>
      <c r="M47" s="217">
        <f t="shared" si="5"/>
        <v>0</v>
      </c>
      <c r="N47" s="170">
        <f>SUM(N48:N49)</f>
        <v>356.96</v>
      </c>
      <c r="R47" s="42">
        <f>SUM(R48:R50)</f>
        <v>424.16558000000003</v>
      </c>
      <c r="S47" s="42">
        <f>SUM(S48:S50)</f>
        <v>0</v>
      </c>
      <c r="T47" s="217">
        <f t="shared" si="13"/>
        <v>25</v>
      </c>
      <c r="U47" s="42">
        <f>SUM(U48:U50)</f>
        <v>466.29822999999999</v>
      </c>
      <c r="V47" s="42">
        <f>SUM(V48:V50)</f>
        <v>0</v>
      </c>
      <c r="W47" s="203">
        <f t="shared" si="3"/>
        <v>-25</v>
      </c>
      <c r="X47" s="203">
        <f t="shared" si="4"/>
        <v>0</v>
      </c>
    </row>
    <row r="48" spans="1:24" s="4" customFormat="1" ht="15" x14ac:dyDescent="0.2">
      <c r="A48" s="739" t="s">
        <v>529</v>
      </c>
      <c r="B48" s="68" t="s">
        <v>622</v>
      </c>
      <c r="C48" s="351" t="s">
        <v>605</v>
      </c>
      <c r="D48" s="351" t="s">
        <v>607</v>
      </c>
      <c r="E48" s="378" t="s">
        <v>501</v>
      </c>
      <c r="F48" s="378" t="s">
        <v>129</v>
      </c>
      <c r="G48" s="43">
        <f>422.427+5.75588</f>
        <v>428.18288000000001</v>
      </c>
      <c r="H48" s="43"/>
      <c r="I48" s="43">
        <v>447.38411000000002</v>
      </c>
      <c r="J48" s="43"/>
      <c r="K48" s="43">
        <f t="shared" si="0"/>
        <v>19.20123000000001</v>
      </c>
      <c r="L48" s="43">
        <f t="shared" si="1"/>
        <v>0</v>
      </c>
      <c r="M48" s="217">
        <f t="shared" si="5"/>
        <v>0</v>
      </c>
      <c r="N48" s="171">
        <v>274.18099999999998</v>
      </c>
      <c r="R48" s="43">
        <v>325.78023000000002</v>
      </c>
      <c r="S48" s="43"/>
      <c r="T48" s="217">
        <f t="shared" si="13"/>
        <v>19.20123000000001</v>
      </c>
      <c r="U48" s="43">
        <v>357.90976000000001</v>
      </c>
      <c r="V48" s="43">
        <v>0</v>
      </c>
      <c r="W48" s="203">
        <f t="shared" si="3"/>
        <v>-19.20123000000001</v>
      </c>
      <c r="X48" s="203">
        <f t="shared" si="4"/>
        <v>0</v>
      </c>
    </row>
    <row r="49" spans="1:24" s="4" customFormat="1" ht="25.5" x14ac:dyDescent="0.2">
      <c r="A49" s="739" t="s">
        <v>572</v>
      </c>
      <c r="B49" s="68" t="s">
        <v>622</v>
      </c>
      <c r="C49" s="351" t="s">
        <v>605</v>
      </c>
      <c r="D49" s="351" t="s">
        <v>607</v>
      </c>
      <c r="E49" s="378" t="s">
        <v>501</v>
      </c>
      <c r="F49" s="378" t="s">
        <v>524</v>
      </c>
      <c r="G49" s="43">
        <v>127.57299999999999</v>
      </c>
      <c r="H49" s="43"/>
      <c r="I49" s="43">
        <v>133.37177</v>
      </c>
      <c r="J49" s="43"/>
      <c r="K49" s="43">
        <f t="shared" si="0"/>
        <v>5.7987700000000046</v>
      </c>
      <c r="L49" s="43">
        <f t="shared" si="1"/>
        <v>0</v>
      </c>
      <c r="M49" s="217">
        <f t="shared" si="5"/>
        <v>0</v>
      </c>
      <c r="N49" s="171">
        <v>82.778999999999996</v>
      </c>
      <c r="R49" s="43">
        <v>98.385350000000003</v>
      </c>
      <c r="S49" s="43"/>
      <c r="T49" s="217">
        <f t="shared" si="13"/>
        <v>5.7987700000000046</v>
      </c>
      <c r="U49" s="43">
        <v>108.38847</v>
      </c>
      <c r="V49" s="43">
        <v>0</v>
      </c>
      <c r="W49" s="203">
        <f t="shared" si="3"/>
        <v>-5.7987700000000046</v>
      </c>
      <c r="X49" s="203">
        <f t="shared" si="4"/>
        <v>0</v>
      </c>
    </row>
    <row r="50" spans="1:24" s="4" customFormat="1" ht="15.75" hidden="1" customHeight="1" x14ac:dyDescent="0.2">
      <c r="A50" s="124" t="s">
        <v>834</v>
      </c>
      <c r="B50" s="68" t="s">
        <v>622</v>
      </c>
      <c r="C50" s="351" t="s">
        <v>605</v>
      </c>
      <c r="D50" s="351" t="s">
        <v>607</v>
      </c>
      <c r="E50" s="378" t="s">
        <v>501</v>
      </c>
      <c r="F50" s="378">
        <v>244</v>
      </c>
      <c r="G50" s="43"/>
      <c r="H50" s="43"/>
      <c r="I50" s="43"/>
      <c r="J50" s="43"/>
      <c r="K50" s="43">
        <f t="shared" si="0"/>
        <v>0</v>
      </c>
      <c r="L50" s="43">
        <f t="shared" si="1"/>
        <v>0</v>
      </c>
      <c r="M50" s="217">
        <f t="shared" si="5"/>
        <v>0</v>
      </c>
      <c r="N50" s="171"/>
      <c r="R50" s="43"/>
      <c r="S50" s="43"/>
      <c r="T50" s="217"/>
      <c r="U50" s="43"/>
      <c r="V50" s="43"/>
      <c r="W50" s="203"/>
      <c r="X50" s="203"/>
    </row>
    <row r="51" spans="1:24" s="4" customFormat="1" ht="15" x14ac:dyDescent="0.2">
      <c r="A51" s="740" t="s">
        <v>47</v>
      </c>
      <c r="B51" s="67" t="s">
        <v>622</v>
      </c>
      <c r="C51" s="347" t="s">
        <v>605</v>
      </c>
      <c r="D51" s="347" t="s">
        <v>607</v>
      </c>
      <c r="E51" s="374" t="s">
        <v>530</v>
      </c>
      <c r="F51" s="374"/>
      <c r="G51" s="42">
        <f>SUM(G52:G55)</f>
        <v>259.66620999999998</v>
      </c>
      <c r="H51" s="42">
        <f>SUM(H52:H55)</f>
        <v>0</v>
      </c>
      <c r="I51" s="42">
        <f>SUM(I52:I55)</f>
        <v>228.58906000000002</v>
      </c>
      <c r="J51" s="42">
        <f>SUM(J52:J55)</f>
        <v>0</v>
      </c>
      <c r="K51" s="42">
        <f t="shared" si="0"/>
        <v>-31.077149999999961</v>
      </c>
      <c r="L51" s="42">
        <f t="shared" si="1"/>
        <v>0</v>
      </c>
      <c r="M51" s="217">
        <f t="shared" si="5"/>
        <v>0</v>
      </c>
      <c r="N51" s="42">
        <f>SUM(N52:N55)</f>
        <v>610.09999999999991</v>
      </c>
      <c r="R51" s="42">
        <f>SUM(R52:R55)</f>
        <v>337.63800000000003</v>
      </c>
      <c r="S51" s="42">
        <f>SUM(S52:S55)</f>
        <v>0</v>
      </c>
      <c r="T51" s="217">
        <f t="shared" si="13"/>
        <v>-31.077149999999961</v>
      </c>
      <c r="U51" s="42">
        <f>SUM(U52:U55)</f>
        <v>614.15200000000004</v>
      </c>
      <c r="V51" s="42">
        <f>SUM(V52:V55)</f>
        <v>0</v>
      </c>
      <c r="W51" s="203">
        <f t="shared" si="3"/>
        <v>31.077149999999961</v>
      </c>
      <c r="X51" s="203">
        <f t="shared" si="4"/>
        <v>0</v>
      </c>
    </row>
    <row r="52" spans="1:24" s="4" customFormat="1" ht="15" x14ac:dyDescent="0.2">
      <c r="A52" s="739" t="s">
        <v>523</v>
      </c>
      <c r="B52" s="68" t="s">
        <v>622</v>
      </c>
      <c r="C52" s="351" t="s">
        <v>605</v>
      </c>
      <c r="D52" s="351" t="s">
        <v>607</v>
      </c>
      <c r="E52" s="375" t="s">
        <v>530</v>
      </c>
      <c r="F52" s="378" t="s">
        <v>129</v>
      </c>
      <c r="G52" s="43">
        <v>205.55699999999999</v>
      </c>
      <c r="H52" s="43"/>
      <c r="I52" s="43">
        <v>176.87040999999999</v>
      </c>
      <c r="J52" s="43"/>
      <c r="K52" s="43">
        <f t="shared" si="0"/>
        <v>-28.686589999999995</v>
      </c>
      <c r="L52" s="43">
        <f t="shared" si="1"/>
        <v>0</v>
      </c>
      <c r="M52" s="217">
        <f t="shared" si="5"/>
        <v>0</v>
      </c>
      <c r="N52" s="43">
        <f>606.8-140.7</f>
        <v>466.09999999999997</v>
      </c>
      <c r="R52" s="43">
        <v>256.94200000000001</v>
      </c>
      <c r="S52" s="43"/>
      <c r="T52" s="217">
        <f t="shared" si="13"/>
        <v>-28.686589999999995</v>
      </c>
      <c r="U52" s="43">
        <v>469.16399999999999</v>
      </c>
      <c r="V52" s="43">
        <v>0</v>
      </c>
      <c r="W52" s="203">
        <f t="shared" si="3"/>
        <v>28.686589999999995</v>
      </c>
      <c r="X52" s="203">
        <f t="shared" si="4"/>
        <v>0</v>
      </c>
    </row>
    <row r="53" spans="1:24" s="4" customFormat="1" ht="15" x14ac:dyDescent="0.2">
      <c r="A53" s="739" t="s">
        <v>191</v>
      </c>
      <c r="B53" s="68" t="s">
        <v>622</v>
      </c>
      <c r="C53" s="351" t="s">
        <v>605</v>
      </c>
      <c r="D53" s="351" t="s">
        <v>607</v>
      </c>
      <c r="E53" s="375" t="s">
        <v>530</v>
      </c>
      <c r="F53" s="378" t="s">
        <v>636</v>
      </c>
      <c r="G53" s="43">
        <v>2.8</v>
      </c>
      <c r="H53" s="43"/>
      <c r="I53" s="43">
        <v>2.8</v>
      </c>
      <c r="J53" s="43"/>
      <c r="K53" s="43">
        <f t="shared" si="0"/>
        <v>0</v>
      </c>
      <c r="L53" s="43">
        <f t="shared" si="1"/>
        <v>0</v>
      </c>
      <c r="M53" s="217">
        <f t="shared" si="5"/>
        <v>0</v>
      </c>
      <c r="N53" s="43">
        <v>3.3</v>
      </c>
      <c r="R53" s="43">
        <v>3.1</v>
      </c>
      <c r="S53" s="43"/>
      <c r="T53" s="217">
        <f t="shared" si="13"/>
        <v>0</v>
      </c>
      <c r="U53" s="43">
        <v>3.3</v>
      </c>
      <c r="V53" s="43">
        <v>0</v>
      </c>
      <c r="W53" s="203">
        <f t="shared" si="3"/>
        <v>0</v>
      </c>
      <c r="X53" s="203">
        <f t="shared" si="4"/>
        <v>0</v>
      </c>
    </row>
    <row r="54" spans="1:24" s="4" customFormat="1" ht="25.5" x14ac:dyDescent="0.2">
      <c r="A54" s="739" t="s">
        <v>572</v>
      </c>
      <c r="B54" s="68" t="s">
        <v>622</v>
      </c>
      <c r="C54" s="351" t="s">
        <v>605</v>
      </c>
      <c r="D54" s="351" t="s">
        <v>607</v>
      </c>
      <c r="E54" s="375" t="s">
        <v>530</v>
      </c>
      <c r="F54" s="378" t="s">
        <v>524</v>
      </c>
      <c r="G54" s="43">
        <v>51.30921</v>
      </c>
      <c r="H54" s="43"/>
      <c r="I54" s="43">
        <v>48.91865</v>
      </c>
      <c r="J54" s="43"/>
      <c r="K54" s="43">
        <f t="shared" si="0"/>
        <v>-2.3905600000000007</v>
      </c>
      <c r="L54" s="43">
        <f t="shared" si="1"/>
        <v>0</v>
      </c>
      <c r="M54" s="217">
        <f t="shared" si="5"/>
        <v>0</v>
      </c>
      <c r="N54" s="43">
        <v>140.69999999999999</v>
      </c>
      <c r="R54" s="43">
        <v>77.596000000000004</v>
      </c>
      <c r="S54" s="43"/>
      <c r="T54" s="217">
        <f t="shared" si="13"/>
        <v>-2.3905600000000007</v>
      </c>
      <c r="U54" s="43">
        <v>141.68799999999999</v>
      </c>
      <c r="V54" s="43">
        <v>0</v>
      </c>
      <c r="W54" s="203">
        <f t="shared" si="3"/>
        <v>2.3905600000000007</v>
      </c>
      <c r="X54" s="203">
        <f t="shared" si="4"/>
        <v>0</v>
      </c>
    </row>
    <row r="55" spans="1:24" s="4" customFormat="1" ht="13.5" hidden="1" customHeight="1" x14ac:dyDescent="0.2">
      <c r="A55" s="124" t="s">
        <v>834</v>
      </c>
      <c r="B55" s="68" t="s">
        <v>622</v>
      </c>
      <c r="C55" s="351" t="s">
        <v>605</v>
      </c>
      <c r="D55" s="351" t="s">
        <v>607</v>
      </c>
      <c r="E55" s="375" t="s">
        <v>530</v>
      </c>
      <c r="F55" s="378" t="s">
        <v>634</v>
      </c>
      <c r="G55" s="43"/>
      <c r="H55" s="43"/>
      <c r="I55" s="43"/>
      <c r="J55" s="43"/>
      <c r="K55" s="43">
        <f t="shared" si="0"/>
        <v>0</v>
      </c>
      <c r="L55" s="43">
        <f t="shared" si="1"/>
        <v>0</v>
      </c>
      <c r="M55" s="217">
        <f t="shared" si="5"/>
        <v>0</v>
      </c>
      <c r="N55" s="43"/>
      <c r="R55" s="43"/>
      <c r="S55" s="43"/>
      <c r="T55" s="217">
        <f t="shared" si="13"/>
        <v>0</v>
      </c>
      <c r="U55" s="43"/>
      <c r="V55" s="43"/>
      <c r="W55" s="203">
        <f t="shared" si="3"/>
        <v>0</v>
      </c>
      <c r="X55" s="203">
        <f t="shared" si="4"/>
        <v>0</v>
      </c>
    </row>
    <row r="56" spans="1:24" s="4" customFormat="1" ht="15" hidden="1" x14ac:dyDescent="0.2">
      <c r="A56" s="121" t="s">
        <v>1050</v>
      </c>
      <c r="B56" s="131" t="s">
        <v>622</v>
      </c>
      <c r="C56" s="349" t="s">
        <v>605</v>
      </c>
      <c r="D56" s="349" t="s">
        <v>607</v>
      </c>
      <c r="E56" s="376" t="s">
        <v>1049</v>
      </c>
      <c r="F56" s="376"/>
      <c r="G56" s="42">
        <f>G57+G58</f>
        <v>0</v>
      </c>
      <c r="H56" s="42">
        <f>H57+H58</f>
        <v>0</v>
      </c>
      <c r="I56" s="42">
        <f>I57+I58</f>
        <v>0</v>
      </c>
      <c r="J56" s="42">
        <f>J57+J58</f>
        <v>0</v>
      </c>
      <c r="K56" s="42">
        <f t="shared" si="0"/>
        <v>0</v>
      </c>
      <c r="L56" s="42">
        <f t="shared" si="1"/>
        <v>0</v>
      </c>
      <c r="M56" s="217">
        <f t="shared" si="5"/>
        <v>0</v>
      </c>
      <c r="N56" s="43"/>
      <c r="R56" s="42">
        <f>R57+R58</f>
        <v>484.87</v>
      </c>
      <c r="S56" s="42">
        <f>S57+S58</f>
        <v>0</v>
      </c>
      <c r="T56" s="217"/>
      <c r="U56" s="42">
        <f>U57+U58</f>
        <v>215.523</v>
      </c>
      <c r="V56" s="42">
        <f>V57+V58</f>
        <v>0</v>
      </c>
      <c r="W56" s="203">
        <f t="shared" si="3"/>
        <v>0</v>
      </c>
      <c r="X56" s="203">
        <f t="shared" si="4"/>
        <v>0</v>
      </c>
    </row>
    <row r="57" spans="1:24" s="4" customFormat="1" ht="15" hidden="1" x14ac:dyDescent="0.2">
      <c r="A57" s="124" t="s">
        <v>523</v>
      </c>
      <c r="B57" s="125" t="s">
        <v>622</v>
      </c>
      <c r="C57" s="348" t="s">
        <v>605</v>
      </c>
      <c r="D57" s="348" t="s">
        <v>607</v>
      </c>
      <c r="E57" s="375" t="s">
        <v>1049</v>
      </c>
      <c r="F57" s="375" t="s">
        <v>129</v>
      </c>
      <c r="G57" s="43"/>
      <c r="H57" s="43"/>
      <c r="I57" s="43"/>
      <c r="J57" s="43"/>
      <c r="K57" s="43">
        <f t="shared" si="0"/>
        <v>0</v>
      </c>
      <c r="L57" s="43">
        <f t="shared" si="1"/>
        <v>0</v>
      </c>
      <c r="M57" s="217">
        <f t="shared" si="5"/>
        <v>0</v>
      </c>
      <c r="N57" s="43"/>
      <c r="R57" s="43">
        <v>372.4</v>
      </c>
      <c r="S57" s="43"/>
      <c r="T57" s="217"/>
      <c r="U57" s="43">
        <v>163.642</v>
      </c>
      <c r="V57" s="43"/>
      <c r="W57" s="203">
        <f t="shared" si="3"/>
        <v>0</v>
      </c>
      <c r="X57" s="203">
        <f t="shared" si="4"/>
        <v>0</v>
      </c>
    </row>
    <row r="58" spans="1:24" s="4" customFormat="1" ht="25.5" hidden="1" x14ac:dyDescent="0.2">
      <c r="A58" s="124" t="s">
        <v>572</v>
      </c>
      <c r="B58" s="125" t="s">
        <v>622</v>
      </c>
      <c r="C58" s="348" t="s">
        <v>605</v>
      </c>
      <c r="D58" s="348" t="s">
        <v>607</v>
      </c>
      <c r="E58" s="375" t="s">
        <v>1049</v>
      </c>
      <c r="F58" s="375" t="s">
        <v>524</v>
      </c>
      <c r="G58" s="43"/>
      <c r="H58" s="43"/>
      <c r="I58" s="43"/>
      <c r="J58" s="43"/>
      <c r="K58" s="43">
        <f t="shared" si="0"/>
        <v>0</v>
      </c>
      <c r="L58" s="43">
        <f t="shared" si="1"/>
        <v>0</v>
      </c>
      <c r="M58" s="217">
        <f t="shared" si="5"/>
        <v>0</v>
      </c>
      <c r="N58" s="43"/>
      <c r="R58" s="43">
        <v>112.47</v>
      </c>
      <c r="S58" s="43"/>
      <c r="T58" s="217"/>
      <c r="U58" s="43">
        <v>51.881</v>
      </c>
      <c r="V58" s="43"/>
      <c r="W58" s="203">
        <f t="shared" ref="W58:W107" si="18">G58-I58</f>
        <v>0</v>
      </c>
      <c r="X58" s="203">
        <f t="shared" ref="X58:X106" si="19">K58+W58</f>
        <v>0</v>
      </c>
    </row>
    <row r="59" spans="1:24" s="4" customFormat="1" ht="15" x14ac:dyDescent="0.2">
      <c r="A59" s="741" t="s">
        <v>1383</v>
      </c>
      <c r="B59" s="131" t="s">
        <v>622</v>
      </c>
      <c r="C59" s="349" t="s">
        <v>605</v>
      </c>
      <c r="D59" s="349" t="s">
        <v>607</v>
      </c>
      <c r="E59" s="376" t="s">
        <v>1268</v>
      </c>
      <c r="F59" s="376"/>
      <c r="G59" s="42">
        <f>G60+G61</f>
        <v>505.11900000000003</v>
      </c>
      <c r="H59" s="42">
        <f>H60+H61</f>
        <v>0</v>
      </c>
      <c r="I59" s="42">
        <f>I60+I61</f>
        <v>505.11900000000003</v>
      </c>
      <c r="J59" s="42">
        <f>J60+J61</f>
        <v>0</v>
      </c>
      <c r="K59" s="42">
        <f t="shared" si="0"/>
        <v>0</v>
      </c>
      <c r="L59" s="42">
        <f t="shared" si="1"/>
        <v>0</v>
      </c>
      <c r="M59" s="217"/>
      <c r="N59" s="43"/>
      <c r="R59" s="43"/>
      <c r="S59" s="43"/>
      <c r="T59" s="217"/>
      <c r="U59" s="43"/>
      <c r="V59" s="43"/>
      <c r="W59" s="203"/>
      <c r="X59" s="203"/>
    </row>
    <row r="60" spans="1:24" s="4" customFormat="1" ht="15" x14ac:dyDescent="0.2">
      <c r="A60" s="739" t="s">
        <v>523</v>
      </c>
      <c r="B60" s="125" t="s">
        <v>622</v>
      </c>
      <c r="C60" s="348" t="s">
        <v>605</v>
      </c>
      <c r="D60" s="348" t="s">
        <v>607</v>
      </c>
      <c r="E60" s="375" t="s">
        <v>1268</v>
      </c>
      <c r="F60" s="375" t="s">
        <v>129</v>
      </c>
      <c r="G60" s="43">
        <v>387.95600000000002</v>
      </c>
      <c r="H60" s="43"/>
      <c r="I60" s="43">
        <v>387.95600000000002</v>
      </c>
      <c r="J60" s="43"/>
      <c r="K60" s="43">
        <f t="shared" si="0"/>
        <v>0</v>
      </c>
      <c r="L60" s="43">
        <f t="shared" si="1"/>
        <v>0</v>
      </c>
      <c r="M60" s="217"/>
      <c r="N60" s="43"/>
      <c r="R60" s="43"/>
      <c r="S60" s="43"/>
      <c r="T60" s="217"/>
      <c r="U60" s="43"/>
      <c r="V60" s="43"/>
      <c r="W60" s="203"/>
      <c r="X60" s="203"/>
    </row>
    <row r="61" spans="1:24" s="4" customFormat="1" ht="25.5" x14ac:dyDescent="0.2">
      <c r="A61" s="739" t="s">
        <v>572</v>
      </c>
      <c r="B61" s="125" t="s">
        <v>622</v>
      </c>
      <c r="C61" s="348" t="s">
        <v>605</v>
      </c>
      <c r="D61" s="348" t="s">
        <v>607</v>
      </c>
      <c r="E61" s="375" t="s">
        <v>1268</v>
      </c>
      <c r="F61" s="375" t="s">
        <v>524</v>
      </c>
      <c r="G61" s="43">
        <v>117.163</v>
      </c>
      <c r="H61" s="43"/>
      <c r="I61" s="43">
        <v>117.163</v>
      </c>
      <c r="J61" s="43"/>
      <c r="K61" s="43">
        <f t="shared" si="0"/>
        <v>0</v>
      </c>
      <c r="L61" s="43">
        <f t="shared" si="1"/>
        <v>0</v>
      </c>
      <c r="M61" s="217"/>
      <c r="N61" s="43"/>
      <c r="R61" s="43"/>
      <c r="S61" s="43"/>
      <c r="T61" s="217"/>
      <c r="U61" s="43"/>
      <c r="V61" s="43"/>
      <c r="W61" s="203"/>
      <c r="X61" s="203"/>
    </row>
    <row r="62" spans="1:24" s="4" customFormat="1" ht="25.5" x14ac:dyDescent="0.2">
      <c r="A62" s="741" t="s">
        <v>2004</v>
      </c>
      <c r="B62" s="131" t="s">
        <v>622</v>
      </c>
      <c r="C62" s="349" t="s">
        <v>605</v>
      </c>
      <c r="D62" s="349" t="s">
        <v>607</v>
      </c>
      <c r="E62" s="376" t="s">
        <v>2003</v>
      </c>
      <c r="F62" s="376"/>
      <c r="G62" s="42">
        <f>G63+G64</f>
        <v>0</v>
      </c>
      <c r="H62" s="42">
        <f>H63+H64</f>
        <v>0</v>
      </c>
      <c r="I62" s="42">
        <f>I63+I64</f>
        <v>289.80515000000003</v>
      </c>
      <c r="J62" s="42">
        <f>J63+J64</f>
        <v>0</v>
      </c>
      <c r="K62" s="42">
        <f t="shared" ref="K62:K64" si="20">I62-G62</f>
        <v>289.80515000000003</v>
      </c>
      <c r="L62" s="42">
        <f t="shared" ref="L62:L64" si="21">J62-H62</f>
        <v>0</v>
      </c>
      <c r="M62" s="217"/>
      <c r="N62" s="43"/>
      <c r="R62" s="43"/>
      <c r="S62" s="43"/>
      <c r="T62" s="217"/>
      <c r="U62" s="43"/>
      <c r="V62" s="43"/>
      <c r="W62" s="203"/>
      <c r="X62" s="203"/>
    </row>
    <row r="63" spans="1:24" s="4" customFormat="1" ht="15" x14ac:dyDescent="0.2">
      <c r="A63" s="739" t="s">
        <v>523</v>
      </c>
      <c r="B63" s="125" t="s">
        <v>622</v>
      </c>
      <c r="C63" s="348" t="s">
        <v>605</v>
      </c>
      <c r="D63" s="348" t="s">
        <v>607</v>
      </c>
      <c r="E63" s="375" t="s">
        <v>2003</v>
      </c>
      <c r="F63" s="375" t="s">
        <v>129</v>
      </c>
      <c r="G63" s="43"/>
      <c r="H63" s="43"/>
      <c r="I63" s="43">
        <v>202.52497</v>
      </c>
      <c r="J63" s="43"/>
      <c r="K63" s="43">
        <f t="shared" si="20"/>
        <v>202.52497</v>
      </c>
      <c r="L63" s="43">
        <f t="shared" si="21"/>
        <v>0</v>
      </c>
      <c r="M63" s="217"/>
      <c r="N63" s="43"/>
      <c r="R63" s="43"/>
      <c r="S63" s="43"/>
      <c r="T63" s="217"/>
      <c r="U63" s="43"/>
      <c r="V63" s="43"/>
      <c r="W63" s="203"/>
      <c r="X63" s="203"/>
    </row>
    <row r="64" spans="1:24" s="4" customFormat="1" ht="25.5" x14ac:dyDescent="0.2">
      <c r="A64" s="739" t="s">
        <v>572</v>
      </c>
      <c r="B64" s="125" t="s">
        <v>622</v>
      </c>
      <c r="C64" s="348" t="s">
        <v>605</v>
      </c>
      <c r="D64" s="348" t="s">
        <v>607</v>
      </c>
      <c r="E64" s="375" t="s">
        <v>2003</v>
      </c>
      <c r="F64" s="375" t="s">
        <v>524</v>
      </c>
      <c r="G64" s="43"/>
      <c r="H64" s="43"/>
      <c r="I64" s="43">
        <v>87.280180000000001</v>
      </c>
      <c r="J64" s="43"/>
      <c r="K64" s="43">
        <f t="shared" si="20"/>
        <v>87.280180000000001</v>
      </c>
      <c r="L64" s="43">
        <f t="shared" si="21"/>
        <v>0</v>
      </c>
      <c r="M64" s="217"/>
      <c r="N64" s="43"/>
      <c r="R64" s="43"/>
      <c r="S64" s="43"/>
      <c r="T64" s="217"/>
      <c r="U64" s="43"/>
      <c r="V64" s="43"/>
      <c r="W64" s="203"/>
      <c r="X64" s="203"/>
    </row>
    <row r="65" spans="1:24" s="4" customFormat="1" ht="15" x14ac:dyDescent="0.2">
      <c r="A65" s="738" t="s">
        <v>210</v>
      </c>
      <c r="B65" s="67" t="s">
        <v>622</v>
      </c>
      <c r="C65" s="347" t="s">
        <v>605</v>
      </c>
      <c r="D65" s="347" t="s">
        <v>620</v>
      </c>
      <c r="E65" s="374"/>
      <c r="F65" s="374"/>
      <c r="G65" s="42">
        <f t="shared" ref="G65:J66" si="22">G66</f>
        <v>267.7</v>
      </c>
      <c r="H65" s="42">
        <f t="shared" si="22"/>
        <v>0</v>
      </c>
      <c r="I65" s="42">
        <f t="shared" si="22"/>
        <v>267.7</v>
      </c>
      <c r="J65" s="42">
        <f t="shared" si="22"/>
        <v>0</v>
      </c>
      <c r="K65" s="42">
        <f t="shared" si="0"/>
        <v>0</v>
      </c>
      <c r="L65" s="42">
        <f t="shared" si="1"/>
        <v>0</v>
      </c>
      <c r="M65" s="217">
        <f t="shared" si="5"/>
        <v>0</v>
      </c>
      <c r="N65" s="42">
        <f>N66</f>
        <v>243.60000000000002</v>
      </c>
      <c r="R65" s="42">
        <f>R66</f>
        <v>217.70000000000002</v>
      </c>
      <c r="S65" s="42">
        <f>S66</f>
        <v>0</v>
      </c>
      <c r="T65" s="217">
        <f t="shared" ref="T65:T71" si="23">I65-G65</f>
        <v>0</v>
      </c>
      <c r="U65" s="42">
        <f>U66</f>
        <v>280</v>
      </c>
      <c r="V65" s="42">
        <f>V66</f>
        <v>0</v>
      </c>
      <c r="W65" s="203">
        <f t="shared" si="18"/>
        <v>0</v>
      </c>
      <c r="X65" s="203">
        <f t="shared" si="19"/>
        <v>0</v>
      </c>
    </row>
    <row r="66" spans="1:24" s="4" customFormat="1" ht="15" x14ac:dyDescent="0.2">
      <c r="A66" s="738" t="s">
        <v>65</v>
      </c>
      <c r="B66" s="67" t="s">
        <v>622</v>
      </c>
      <c r="C66" s="347" t="s">
        <v>605</v>
      </c>
      <c r="D66" s="347" t="s">
        <v>620</v>
      </c>
      <c r="E66" s="374" t="s">
        <v>312</v>
      </c>
      <c r="F66" s="374"/>
      <c r="G66" s="42">
        <f t="shared" si="22"/>
        <v>267.7</v>
      </c>
      <c r="H66" s="42">
        <f t="shared" si="22"/>
        <v>0</v>
      </c>
      <c r="I66" s="42">
        <f t="shared" si="22"/>
        <v>267.7</v>
      </c>
      <c r="J66" s="42">
        <f t="shared" si="22"/>
        <v>0</v>
      </c>
      <c r="K66" s="42">
        <f t="shared" si="0"/>
        <v>0</v>
      </c>
      <c r="L66" s="42">
        <f t="shared" si="1"/>
        <v>0</v>
      </c>
      <c r="M66" s="217">
        <f t="shared" si="5"/>
        <v>0</v>
      </c>
      <c r="N66" s="42">
        <f>N67</f>
        <v>243.60000000000002</v>
      </c>
      <c r="P66" s="40" t="e">
        <f>G66+G335+#REF!+#REF!+#REF!+#REF!+G1365+G1563+G2026</f>
        <v>#REF!</v>
      </c>
      <c r="Q66" s="40"/>
      <c r="R66" s="42">
        <f>R67</f>
        <v>217.70000000000002</v>
      </c>
      <c r="S66" s="42">
        <f>S67</f>
        <v>0</v>
      </c>
      <c r="T66" s="217">
        <f t="shared" si="23"/>
        <v>0</v>
      </c>
      <c r="U66" s="42">
        <f>U67</f>
        <v>280</v>
      </c>
      <c r="V66" s="42">
        <f>V67</f>
        <v>0</v>
      </c>
      <c r="W66" s="203">
        <f t="shared" si="18"/>
        <v>0</v>
      </c>
      <c r="X66" s="203">
        <f t="shared" si="19"/>
        <v>0</v>
      </c>
    </row>
    <row r="67" spans="1:24" s="4" customFormat="1" ht="15" x14ac:dyDescent="0.2">
      <c r="A67" s="740" t="s">
        <v>29</v>
      </c>
      <c r="B67" s="67" t="s">
        <v>622</v>
      </c>
      <c r="C67" s="347" t="s">
        <v>605</v>
      </c>
      <c r="D67" s="347" t="s">
        <v>620</v>
      </c>
      <c r="E67" s="377" t="s">
        <v>331</v>
      </c>
      <c r="F67" s="377"/>
      <c r="G67" s="42">
        <f>SUM(G68:G71)</f>
        <v>267.7</v>
      </c>
      <c r="H67" s="42">
        <f>H68+H70+H71</f>
        <v>0</v>
      </c>
      <c r="I67" s="42">
        <f>SUM(I68:I71)</f>
        <v>267.7</v>
      </c>
      <c r="J67" s="42">
        <f>J68+J70+J71</f>
        <v>0</v>
      </c>
      <c r="K67" s="42">
        <f t="shared" si="0"/>
        <v>0</v>
      </c>
      <c r="L67" s="42">
        <f t="shared" si="1"/>
        <v>0</v>
      </c>
      <c r="M67" s="217">
        <f t="shared" si="5"/>
        <v>0</v>
      </c>
      <c r="N67" s="42">
        <f>SUM(N68:N71)</f>
        <v>243.60000000000002</v>
      </c>
      <c r="R67" s="42">
        <f>SUM(R68:R71)</f>
        <v>217.70000000000002</v>
      </c>
      <c r="S67" s="42">
        <f>S68+S70+S71</f>
        <v>0</v>
      </c>
      <c r="T67" s="217">
        <f t="shared" si="23"/>
        <v>0</v>
      </c>
      <c r="U67" s="42">
        <f>SUM(U68:U71)</f>
        <v>280</v>
      </c>
      <c r="V67" s="42">
        <f>V68+V70+V71</f>
        <v>0</v>
      </c>
      <c r="W67" s="203">
        <f t="shared" si="18"/>
        <v>0</v>
      </c>
      <c r="X67" s="203">
        <f t="shared" si="19"/>
        <v>0</v>
      </c>
    </row>
    <row r="68" spans="1:24" s="4" customFormat="1" ht="15" x14ac:dyDescent="0.2">
      <c r="A68" s="739" t="s">
        <v>523</v>
      </c>
      <c r="B68" s="68" t="s">
        <v>622</v>
      </c>
      <c r="C68" s="352" t="s">
        <v>605</v>
      </c>
      <c r="D68" s="352" t="s">
        <v>620</v>
      </c>
      <c r="E68" s="378" t="s">
        <v>331</v>
      </c>
      <c r="F68" s="378" t="s">
        <v>129</v>
      </c>
      <c r="G68" s="206">
        <v>170.2765</v>
      </c>
      <c r="H68" s="43"/>
      <c r="I68" s="206">
        <v>170.2765</v>
      </c>
      <c r="J68" s="43"/>
      <c r="K68" s="43">
        <f t="shared" si="0"/>
        <v>0</v>
      </c>
      <c r="L68" s="43">
        <f t="shared" si="1"/>
        <v>0</v>
      </c>
      <c r="M68" s="217">
        <f t="shared" si="5"/>
        <v>0</v>
      </c>
      <c r="N68" s="43">
        <v>151.613</v>
      </c>
      <c r="R68" s="206">
        <v>131.71275</v>
      </c>
      <c r="S68" s="43"/>
      <c r="T68" s="217">
        <f t="shared" si="23"/>
        <v>0</v>
      </c>
      <c r="U68" s="206">
        <f>174.3+5.2</f>
        <v>179.5</v>
      </c>
      <c r="V68" s="43">
        <v>0</v>
      </c>
      <c r="W68" s="203">
        <f t="shared" si="18"/>
        <v>0</v>
      </c>
      <c r="X68" s="203">
        <f t="shared" si="19"/>
        <v>0</v>
      </c>
    </row>
    <row r="69" spans="1:24" s="4" customFormat="1" ht="25.5" x14ac:dyDescent="0.2">
      <c r="A69" s="739" t="s">
        <v>572</v>
      </c>
      <c r="B69" s="68" t="s">
        <v>622</v>
      </c>
      <c r="C69" s="352" t="s">
        <v>605</v>
      </c>
      <c r="D69" s="352" t="s">
        <v>620</v>
      </c>
      <c r="E69" s="378" t="s">
        <v>331</v>
      </c>
      <c r="F69" s="378" t="s">
        <v>524</v>
      </c>
      <c r="G69" s="206">
        <v>51.423499999999997</v>
      </c>
      <c r="H69" s="43"/>
      <c r="I69" s="206">
        <v>51.423499999999997</v>
      </c>
      <c r="J69" s="43"/>
      <c r="K69" s="43">
        <f t="shared" si="0"/>
        <v>0</v>
      </c>
      <c r="L69" s="43">
        <f t="shared" si="1"/>
        <v>0</v>
      </c>
      <c r="M69" s="217">
        <f t="shared" si="5"/>
        <v>0</v>
      </c>
      <c r="N69" s="43">
        <v>45.786999999999999</v>
      </c>
      <c r="R69" s="206">
        <v>39.777250000000002</v>
      </c>
      <c r="S69" s="43"/>
      <c r="T69" s="217">
        <f t="shared" si="23"/>
        <v>0</v>
      </c>
      <c r="U69" s="206">
        <f>52.7+1.6</f>
        <v>54.300000000000004</v>
      </c>
      <c r="V69" s="43">
        <v>0</v>
      </c>
      <c r="W69" s="203">
        <f t="shared" si="18"/>
        <v>0</v>
      </c>
      <c r="X69" s="203">
        <f t="shared" si="19"/>
        <v>0</v>
      </c>
    </row>
    <row r="70" spans="1:24" s="4" customFormat="1" ht="13.5" hidden="1" customHeight="1" x14ac:dyDescent="0.2">
      <c r="A70" s="124" t="s">
        <v>233</v>
      </c>
      <c r="B70" s="68" t="s">
        <v>622</v>
      </c>
      <c r="C70" s="352" t="s">
        <v>605</v>
      </c>
      <c r="D70" s="352" t="s">
        <v>620</v>
      </c>
      <c r="E70" s="378" t="s">
        <v>331</v>
      </c>
      <c r="F70" s="378" t="s">
        <v>635</v>
      </c>
      <c r="G70" s="206"/>
      <c r="H70" s="43"/>
      <c r="I70" s="206"/>
      <c r="J70" s="43"/>
      <c r="K70" s="43">
        <f t="shared" si="0"/>
        <v>0</v>
      </c>
      <c r="L70" s="43">
        <f t="shared" si="1"/>
        <v>0</v>
      </c>
      <c r="M70" s="217">
        <f t="shared" si="5"/>
        <v>0</v>
      </c>
      <c r="N70" s="43">
        <v>1.56</v>
      </c>
      <c r="R70" s="206"/>
      <c r="S70" s="43"/>
      <c r="T70" s="217">
        <f t="shared" si="23"/>
        <v>0</v>
      </c>
      <c r="U70" s="206">
        <v>3.4</v>
      </c>
      <c r="V70" s="43">
        <v>0</v>
      </c>
      <c r="W70" s="203">
        <f t="shared" si="18"/>
        <v>0</v>
      </c>
      <c r="X70" s="203">
        <f t="shared" si="19"/>
        <v>0</v>
      </c>
    </row>
    <row r="71" spans="1:24" s="4" customFormat="1" ht="15" x14ac:dyDescent="0.2">
      <c r="A71" s="739" t="s">
        <v>834</v>
      </c>
      <c r="B71" s="68" t="s">
        <v>622</v>
      </c>
      <c r="C71" s="352" t="s">
        <v>605</v>
      </c>
      <c r="D71" s="352" t="s">
        <v>620</v>
      </c>
      <c r="E71" s="378" t="s">
        <v>331</v>
      </c>
      <c r="F71" s="378" t="s">
        <v>634</v>
      </c>
      <c r="G71" s="206">
        <v>46</v>
      </c>
      <c r="H71" s="43"/>
      <c r="I71" s="206">
        <v>46</v>
      </c>
      <c r="J71" s="43"/>
      <c r="K71" s="43">
        <f t="shared" si="0"/>
        <v>0</v>
      </c>
      <c r="L71" s="43">
        <f t="shared" si="1"/>
        <v>0</v>
      </c>
      <c r="M71" s="217">
        <f t="shared" si="5"/>
        <v>0</v>
      </c>
      <c r="N71" s="43">
        <v>44.64</v>
      </c>
      <c r="R71" s="206">
        <v>46.21</v>
      </c>
      <c r="S71" s="43"/>
      <c r="T71" s="217">
        <f t="shared" si="23"/>
        <v>0</v>
      </c>
      <c r="U71" s="206">
        <v>42.8</v>
      </c>
      <c r="V71" s="43">
        <v>0</v>
      </c>
      <c r="W71" s="203">
        <f t="shared" si="18"/>
        <v>0</v>
      </c>
      <c r="X71" s="203">
        <f t="shared" si="19"/>
        <v>0</v>
      </c>
    </row>
    <row r="72" spans="1:24" s="4" customFormat="1" ht="31.5" x14ac:dyDescent="0.25">
      <c r="A72" s="743" t="s">
        <v>968</v>
      </c>
      <c r="B72" s="66" t="s">
        <v>969</v>
      </c>
      <c r="C72" s="346"/>
      <c r="D72" s="346"/>
      <c r="E72" s="373"/>
      <c r="F72" s="373"/>
      <c r="G72" s="126">
        <f t="shared" ref="G72:L72" si="24">G73+G205+G210+G199</f>
        <v>10166.350989999999</v>
      </c>
      <c r="H72" s="126">
        <f t="shared" si="24"/>
        <v>0</v>
      </c>
      <c r="I72" s="126">
        <f t="shared" si="24"/>
        <v>11620.68633</v>
      </c>
      <c r="J72" s="126">
        <f t="shared" si="24"/>
        <v>68.740399999999994</v>
      </c>
      <c r="K72" s="126">
        <f t="shared" si="24"/>
        <v>1454.3353400000001</v>
      </c>
      <c r="L72" s="126">
        <f t="shared" si="24"/>
        <v>68.740399999999994</v>
      </c>
      <c r="M72" s="217">
        <f t="shared" si="5"/>
        <v>0</v>
      </c>
      <c r="N72" s="43"/>
      <c r="R72" s="126" t="e">
        <f>R73+R205+R210+R199</f>
        <v>#REF!</v>
      </c>
      <c r="S72" s="126" t="e">
        <f>S73+S205+S210+S199</f>
        <v>#REF!</v>
      </c>
      <c r="T72" s="217"/>
      <c r="U72" s="126" t="e">
        <f>U73+U205+U210</f>
        <v>#REF!</v>
      </c>
      <c r="V72" s="126" t="e">
        <f>V73+V205+V210</f>
        <v>#REF!</v>
      </c>
      <c r="W72" s="203">
        <f t="shared" si="18"/>
        <v>-1454.3353400000015</v>
      </c>
      <c r="X72" s="203">
        <f t="shared" si="19"/>
        <v>0</v>
      </c>
    </row>
    <row r="73" spans="1:24" s="4" customFormat="1" ht="15.75" x14ac:dyDescent="0.25">
      <c r="A73" s="738" t="s">
        <v>601</v>
      </c>
      <c r="B73" s="67" t="s">
        <v>969</v>
      </c>
      <c r="C73" s="347" t="s">
        <v>608</v>
      </c>
      <c r="D73" s="346"/>
      <c r="E73" s="379"/>
      <c r="F73" s="379"/>
      <c r="G73" s="127">
        <f t="shared" ref="G73:L73" si="25">G74+G180+G175</f>
        <v>10166.350989999999</v>
      </c>
      <c r="H73" s="127">
        <f t="shared" si="25"/>
        <v>0</v>
      </c>
      <c r="I73" s="127">
        <f t="shared" si="25"/>
        <v>11620.68633</v>
      </c>
      <c r="J73" s="127">
        <f t="shared" si="25"/>
        <v>68.740399999999994</v>
      </c>
      <c r="K73" s="127">
        <f t="shared" si="25"/>
        <v>1454.3353400000001</v>
      </c>
      <c r="L73" s="127">
        <f t="shared" si="25"/>
        <v>68.740399999999994</v>
      </c>
      <c r="M73" s="217">
        <f t="shared" si="5"/>
        <v>0</v>
      </c>
      <c r="N73" s="43"/>
      <c r="R73" s="127" t="e">
        <f>R74+R180+R175</f>
        <v>#REF!</v>
      </c>
      <c r="S73" s="127" t="e">
        <f>S74+S180+S175</f>
        <v>#REF!</v>
      </c>
      <c r="T73" s="217"/>
      <c r="U73" s="127" t="e">
        <f>U74+U180+U175</f>
        <v>#REF!</v>
      </c>
      <c r="V73" s="127" t="e">
        <f>V74+V180+V175</f>
        <v>#REF!</v>
      </c>
      <c r="W73" s="203">
        <f t="shared" si="18"/>
        <v>-1454.3353400000015</v>
      </c>
      <c r="X73" s="203">
        <f t="shared" si="19"/>
        <v>0</v>
      </c>
    </row>
    <row r="74" spans="1:24" s="4" customFormat="1" ht="15.75" x14ac:dyDescent="0.25">
      <c r="A74" s="738" t="s">
        <v>603</v>
      </c>
      <c r="B74" s="67" t="s">
        <v>969</v>
      </c>
      <c r="C74" s="347" t="s">
        <v>608</v>
      </c>
      <c r="D74" s="347" t="s">
        <v>609</v>
      </c>
      <c r="E74" s="379"/>
      <c r="F74" s="379"/>
      <c r="G74" s="127">
        <f t="shared" ref="G74:L74" si="26">G75+G126+G104+G108+G112+G100</f>
        <v>10016.350989999999</v>
      </c>
      <c r="H74" s="127">
        <f t="shared" si="26"/>
        <v>0</v>
      </c>
      <c r="I74" s="127">
        <f t="shared" si="26"/>
        <v>11345.68633</v>
      </c>
      <c r="J74" s="127">
        <f t="shared" si="26"/>
        <v>68.740399999999994</v>
      </c>
      <c r="K74" s="127">
        <f t="shared" si="26"/>
        <v>1329.3353400000001</v>
      </c>
      <c r="L74" s="127">
        <f t="shared" si="26"/>
        <v>68.740399999999994</v>
      </c>
      <c r="M74" s="217">
        <f t="shared" si="5"/>
        <v>0</v>
      </c>
      <c r="N74" s="43"/>
      <c r="R74" s="127" t="e">
        <f>R75+R126+R104+R108+R112+R100</f>
        <v>#REF!</v>
      </c>
      <c r="S74" s="127" t="e">
        <f>S75+S126+S104+S108+S112+S100</f>
        <v>#REF!</v>
      </c>
      <c r="T74" s="217"/>
      <c r="U74" s="127" t="e">
        <f>U75+U126+U104+U108+U112</f>
        <v>#REF!</v>
      </c>
      <c r="V74" s="127" t="e">
        <f>V75+V126+V104+V108+V112</f>
        <v>#REF!</v>
      </c>
      <c r="W74" s="203">
        <f t="shared" si="18"/>
        <v>-1329.3353400000015</v>
      </c>
      <c r="X74" s="203">
        <f t="shared" si="19"/>
        <v>0</v>
      </c>
    </row>
    <row r="75" spans="1:24" s="4" customFormat="1" ht="27" customHeight="1" x14ac:dyDescent="0.2">
      <c r="A75" s="738" t="s">
        <v>1860</v>
      </c>
      <c r="B75" s="67" t="s">
        <v>969</v>
      </c>
      <c r="C75" s="347" t="s">
        <v>608</v>
      </c>
      <c r="D75" s="347" t="s">
        <v>609</v>
      </c>
      <c r="E75" s="374" t="s">
        <v>543</v>
      </c>
      <c r="F75" s="374"/>
      <c r="G75" s="42">
        <f t="shared" ref="G75:L75" si="27">G76+G79+G83+G87+G90+G94+G97</f>
        <v>5000</v>
      </c>
      <c r="H75" s="42">
        <f t="shared" si="27"/>
        <v>0</v>
      </c>
      <c r="I75" s="42">
        <f t="shared" si="27"/>
        <v>5520</v>
      </c>
      <c r="J75" s="42">
        <f t="shared" si="27"/>
        <v>0</v>
      </c>
      <c r="K75" s="42">
        <f t="shared" si="27"/>
        <v>520</v>
      </c>
      <c r="L75" s="42">
        <f t="shared" si="27"/>
        <v>0</v>
      </c>
      <c r="M75" s="217">
        <f t="shared" si="5"/>
        <v>0</v>
      </c>
      <c r="N75" s="43"/>
      <c r="R75" s="42" t="e">
        <f>#REF!</f>
        <v>#REF!</v>
      </c>
      <c r="S75" s="42" t="e">
        <f>#REF!</f>
        <v>#REF!</v>
      </c>
      <c r="T75" s="217"/>
      <c r="U75" s="42" t="e">
        <f>#REF!</f>
        <v>#REF!</v>
      </c>
      <c r="V75" s="42" t="e">
        <f>#REF!</f>
        <v>#REF!</v>
      </c>
      <c r="W75" s="203">
        <f t="shared" si="18"/>
        <v>-520</v>
      </c>
      <c r="X75" s="203">
        <f t="shared" si="19"/>
        <v>0</v>
      </c>
    </row>
    <row r="76" spans="1:24" s="4" customFormat="1" ht="21.75" customHeight="1" x14ac:dyDescent="0.2">
      <c r="A76" s="738" t="s">
        <v>1861</v>
      </c>
      <c r="B76" s="67" t="s">
        <v>969</v>
      </c>
      <c r="C76" s="347" t="s">
        <v>608</v>
      </c>
      <c r="D76" s="347" t="s">
        <v>609</v>
      </c>
      <c r="E76" s="374">
        <v>7200100000</v>
      </c>
      <c r="F76" s="374"/>
      <c r="G76" s="42">
        <f t="shared" ref="G76:L77" si="28">G77</f>
        <v>100</v>
      </c>
      <c r="H76" s="42">
        <f t="shared" si="28"/>
        <v>0</v>
      </c>
      <c r="I76" s="42">
        <f t="shared" si="28"/>
        <v>100</v>
      </c>
      <c r="J76" s="42">
        <f t="shared" si="28"/>
        <v>0</v>
      </c>
      <c r="K76" s="42">
        <f t="shared" si="28"/>
        <v>0</v>
      </c>
      <c r="L76" s="42">
        <f t="shared" si="28"/>
        <v>0</v>
      </c>
      <c r="M76" s="217">
        <f t="shared" si="5"/>
        <v>0</v>
      </c>
      <c r="N76" s="43"/>
      <c r="R76" s="42">
        <f>R77</f>
        <v>0</v>
      </c>
      <c r="S76" s="42">
        <f>S77</f>
        <v>0</v>
      </c>
      <c r="T76" s="217"/>
      <c r="U76" s="42">
        <f>U77</f>
        <v>0</v>
      </c>
      <c r="V76" s="42">
        <f>V77</f>
        <v>0</v>
      </c>
      <c r="W76" s="203">
        <f t="shared" si="18"/>
        <v>0</v>
      </c>
      <c r="X76" s="203">
        <f t="shared" si="19"/>
        <v>0</v>
      </c>
    </row>
    <row r="77" spans="1:24" s="4" customFormat="1" ht="12.75" customHeight="1" x14ac:dyDescent="0.2">
      <c r="A77" s="738" t="s">
        <v>544</v>
      </c>
      <c r="B77" s="67" t="s">
        <v>969</v>
      </c>
      <c r="C77" s="347" t="s">
        <v>608</v>
      </c>
      <c r="D77" s="347" t="s">
        <v>609</v>
      </c>
      <c r="E77" s="374">
        <v>7200182070</v>
      </c>
      <c r="F77" s="374"/>
      <c r="G77" s="42">
        <f t="shared" si="28"/>
        <v>100</v>
      </c>
      <c r="H77" s="42">
        <f t="shared" si="28"/>
        <v>0</v>
      </c>
      <c r="I77" s="42">
        <f t="shared" si="28"/>
        <v>100</v>
      </c>
      <c r="J77" s="42">
        <f t="shared" si="28"/>
        <v>0</v>
      </c>
      <c r="K77" s="42">
        <f t="shared" si="28"/>
        <v>0</v>
      </c>
      <c r="L77" s="42">
        <f t="shared" si="28"/>
        <v>0</v>
      </c>
      <c r="M77" s="217">
        <f t="shared" si="5"/>
        <v>0</v>
      </c>
      <c r="N77" s="43"/>
      <c r="R77" s="42">
        <f>R78</f>
        <v>0</v>
      </c>
      <c r="S77" s="42">
        <f>S78</f>
        <v>0</v>
      </c>
      <c r="T77" s="217"/>
      <c r="U77" s="42">
        <f>U78</f>
        <v>0</v>
      </c>
      <c r="V77" s="42">
        <f>V78</f>
        <v>0</v>
      </c>
      <c r="W77" s="203">
        <f t="shared" si="18"/>
        <v>0</v>
      </c>
      <c r="X77" s="203">
        <f t="shared" si="19"/>
        <v>0</v>
      </c>
    </row>
    <row r="78" spans="1:24" s="4" customFormat="1" ht="15" customHeight="1" x14ac:dyDescent="0.2">
      <c r="A78" s="739" t="s">
        <v>834</v>
      </c>
      <c r="B78" s="68" t="s">
        <v>969</v>
      </c>
      <c r="C78" s="352" t="s">
        <v>608</v>
      </c>
      <c r="D78" s="352" t="s">
        <v>609</v>
      </c>
      <c r="E78" s="380">
        <v>7200182070</v>
      </c>
      <c r="F78" s="242">
        <v>244</v>
      </c>
      <c r="G78" s="43">
        <v>100</v>
      </c>
      <c r="H78" s="43"/>
      <c r="I78" s="43">
        <v>100</v>
      </c>
      <c r="J78" s="43"/>
      <c r="K78" s="43">
        <f t="shared" si="0"/>
        <v>0</v>
      </c>
      <c r="L78" s="43">
        <f t="shared" si="1"/>
        <v>0</v>
      </c>
      <c r="M78" s="217">
        <f t="shared" si="5"/>
        <v>0</v>
      </c>
      <c r="N78" s="43"/>
      <c r="R78" s="43"/>
      <c r="S78" s="43"/>
      <c r="T78" s="217"/>
      <c r="U78" s="43"/>
      <c r="V78" s="43"/>
      <c r="W78" s="203">
        <f t="shared" si="18"/>
        <v>0</v>
      </c>
      <c r="X78" s="203">
        <f t="shared" si="19"/>
        <v>0</v>
      </c>
    </row>
    <row r="79" spans="1:24" s="4" customFormat="1" ht="40.5" customHeight="1" x14ac:dyDescent="0.2">
      <c r="A79" s="738" t="s">
        <v>1862</v>
      </c>
      <c r="B79" s="67" t="s">
        <v>969</v>
      </c>
      <c r="C79" s="347" t="s">
        <v>608</v>
      </c>
      <c r="D79" s="347" t="s">
        <v>609</v>
      </c>
      <c r="E79" s="374">
        <v>7200200000</v>
      </c>
      <c r="F79" s="374"/>
      <c r="G79" s="42">
        <f>G80</f>
        <v>3000</v>
      </c>
      <c r="H79" s="42">
        <f>H80</f>
        <v>0</v>
      </c>
      <c r="I79" s="42">
        <f>I80</f>
        <v>3000</v>
      </c>
      <c r="J79" s="42">
        <f>J80</f>
        <v>0</v>
      </c>
      <c r="K79" s="42">
        <f t="shared" si="0"/>
        <v>0</v>
      </c>
      <c r="L79" s="42">
        <f t="shared" si="1"/>
        <v>0</v>
      </c>
      <c r="M79" s="217">
        <f t="shared" si="5"/>
        <v>0</v>
      </c>
      <c r="N79" s="43"/>
      <c r="R79" s="42">
        <f>R80</f>
        <v>0</v>
      </c>
      <c r="S79" s="42">
        <f>S80</f>
        <v>0</v>
      </c>
      <c r="T79" s="217"/>
      <c r="U79" s="42">
        <f>U80</f>
        <v>0</v>
      </c>
      <c r="V79" s="42">
        <f>V80</f>
        <v>0</v>
      </c>
      <c r="W79" s="203">
        <f t="shared" si="18"/>
        <v>0</v>
      </c>
      <c r="X79" s="203">
        <f t="shared" si="19"/>
        <v>0</v>
      </c>
    </row>
    <row r="80" spans="1:24" s="4" customFormat="1" ht="12.75" customHeight="1" x14ac:dyDescent="0.2">
      <c r="A80" s="738" t="s">
        <v>544</v>
      </c>
      <c r="B80" s="67" t="s">
        <v>969</v>
      </c>
      <c r="C80" s="347" t="s">
        <v>608</v>
      </c>
      <c r="D80" s="347" t="s">
        <v>609</v>
      </c>
      <c r="E80" s="374">
        <v>7200282070</v>
      </c>
      <c r="F80" s="374"/>
      <c r="G80" s="42">
        <f t="shared" ref="G80:L80" si="29">G81+G82</f>
        <v>3000</v>
      </c>
      <c r="H80" s="42">
        <f t="shared" si="29"/>
        <v>0</v>
      </c>
      <c r="I80" s="42">
        <f t="shared" si="29"/>
        <v>3000</v>
      </c>
      <c r="J80" s="42">
        <f t="shared" si="29"/>
        <v>0</v>
      </c>
      <c r="K80" s="42">
        <f t="shared" si="29"/>
        <v>0</v>
      </c>
      <c r="L80" s="42">
        <f t="shared" si="29"/>
        <v>0</v>
      </c>
      <c r="M80" s="217">
        <f t="shared" si="5"/>
        <v>0</v>
      </c>
      <c r="N80" s="43"/>
      <c r="R80" s="42">
        <f>R81</f>
        <v>0</v>
      </c>
      <c r="S80" s="42">
        <f>S81</f>
        <v>0</v>
      </c>
      <c r="T80" s="217"/>
      <c r="U80" s="42">
        <f>U81</f>
        <v>0</v>
      </c>
      <c r="V80" s="42">
        <f>V81</f>
        <v>0</v>
      </c>
      <c r="W80" s="203">
        <f t="shared" si="18"/>
        <v>0</v>
      </c>
      <c r="X80" s="203">
        <f t="shared" si="19"/>
        <v>0</v>
      </c>
    </row>
    <row r="81" spans="1:24" s="4" customFormat="1" ht="15.75" customHeight="1" x14ac:dyDescent="0.2">
      <c r="A81" s="739" t="s">
        <v>834</v>
      </c>
      <c r="B81" s="68" t="s">
        <v>969</v>
      </c>
      <c r="C81" s="352" t="s">
        <v>608</v>
      </c>
      <c r="D81" s="352" t="s">
        <v>609</v>
      </c>
      <c r="E81" s="380">
        <v>7200282070</v>
      </c>
      <c r="F81" s="242">
        <v>244</v>
      </c>
      <c r="G81" s="43">
        <v>1000</v>
      </c>
      <c r="H81" s="43"/>
      <c r="I81" s="43">
        <v>1000</v>
      </c>
      <c r="J81" s="43"/>
      <c r="K81" s="43">
        <f>I81-G81</f>
        <v>0</v>
      </c>
      <c r="L81" s="43">
        <f t="shared" si="1"/>
        <v>0</v>
      </c>
      <c r="M81" s="217">
        <f t="shared" si="5"/>
        <v>0</v>
      </c>
      <c r="N81" s="43"/>
      <c r="R81" s="43">
        <v>0</v>
      </c>
      <c r="S81" s="43"/>
      <c r="T81" s="217"/>
      <c r="U81" s="43">
        <v>0</v>
      </c>
      <c r="V81" s="43"/>
      <c r="W81" s="203">
        <f t="shared" si="18"/>
        <v>0</v>
      </c>
      <c r="X81" s="203">
        <f t="shared" si="19"/>
        <v>0</v>
      </c>
    </row>
    <row r="82" spans="1:24" s="4" customFormat="1" ht="36.75" customHeight="1" x14ac:dyDescent="0.2">
      <c r="A82" s="744" t="s">
        <v>1932</v>
      </c>
      <c r="B82" s="68" t="s">
        <v>969</v>
      </c>
      <c r="C82" s="352" t="s">
        <v>608</v>
      </c>
      <c r="D82" s="352" t="s">
        <v>609</v>
      </c>
      <c r="E82" s="380">
        <v>7200282070</v>
      </c>
      <c r="F82" s="242">
        <v>813</v>
      </c>
      <c r="G82" s="43">
        <v>2000</v>
      </c>
      <c r="H82" s="43"/>
      <c r="I82" s="43">
        <v>2000</v>
      </c>
      <c r="J82" s="43"/>
      <c r="K82" s="43">
        <f>I82-G82</f>
        <v>0</v>
      </c>
      <c r="L82" s="43">
        <f>J82-H82</f>
        <v>0</v>
      </c>
      <c r="M82" s="217"/>
      <c r="N82" s="43"/>
      <c r="R82" s="43"/>
      <c r="S82" s="43"/>
      <c r="T82" s="217"/>
      <c r="U82" s="43"/>
      <c r="V82" s="43"/>
      <c r="W82" s="203"/>
      <c r="X82" s="203"/>
    </row>
    <row r="83" spans="1:24" s="4" customFormat="1" ht="15.75" customHeight="1" x14ac:dyDescent="0.2">
      <c r="A83" s="738" t="s">
        <v>1863</v>
      </c>
      <c r="B83" s="67" t="s">
        <v>969</v>
      </c>
      <c r="C83" s="347" t="s">
        <v>608</v>
      </c>
      <c r="D83" s="347" t="s">
        <v>609</v>
      </c>
      <c r="E83" s="374">
        <v>7200300000</v>
      </c>
      <c r="F83" s="374"/>
      <c r="G83" s="42">
        <f>G84</f>
        <v>800</v>
      </c>
      <c r="H83" s="42">
        <f>H84</f>
        <v>0</v>
      </c>
      <c r="I83" s="42">
        <f>I84</f>
        <v>800</v>
      </c>
      <c r="J83" s="42">
        <f>J84</f>
        <v>0</v>
      </c>
      <c r="K83" s="42">
        <f t="shared" ref="K83:K153" si="30">I83-G83</f>
        <v>0</v>
      </c>
      <c r="L83" s="42">
        <f t="shared" ref="L83:L153" si="31">J83-H83</f>
        <v>0</v>
      </c>
      <c r="M83" s="217">
        <f t="shared" si="5"/>
        <v>0</v>
      </c>
      <c r="N83" s="43"/>
      <c r="R83" s="42">
        <f>R84</f>
        <v>0</v>
      </c>
      <c r="S83" s="42">
        <f>S84</f>
        <v>0</v>
      </c>
      <c r="T83" s="217"/>
      <c r="U83" s="42">
        <f>U84</f>
        <v>0</v>
      </c>
      <c r="V83" s="42">
        <f>V84</f>
        <v>0</v>
      </c>
      <c r="W83" s="203">
        <f t="shared" si="18"/>
        <v>0</v>
      </c>
      <c r="X83" s="203">
        <f t="shared" si="19"/>
        <v>0</v>
      </c>
    </row>
    <row r="84" spans="1:24" s="4" customFormat="1" ht="12.75" customHeight="1" x14ac:dyDescent="0.2">
      <c r="A84" s="738" t="s">
        <v>544</v>
      </c>
      <c r="B84" s="67" t="s">
        <v>969</v>
      </c>
      <c r="C84" s="347" t="s">
        <v>608</v>
      </c>
      <c r="D84" s="347" t="s">
        <v>609</v>
      </c>
      <c r="E84" s="374">
        <v>7200382070</v>
      </c>
      <c r="F84" s="374"/>
      <c r="G84" s="42">
        <f>G86+G85</f>
        <v>800</v>
      </c>
      <c r="H84" s="42">
        <f>H86+H85</f>
        <v>0</v>
      </c>
      <c r="I84" s="42">
        <f>I86+I85</f>
        <v>800</v>
      </c>
      <c r="J84" s="42">
        <f>J86+J85</f>
        <v>0</v>
      </c>
      <c r="K84" s="42">
        <f t="shared" si="30"/>
        <v>0</v>
      </c>
      <c r="L84" s="42">
        <f t="shared" si="31"/>
        <v>0</v>
      </c>
      <c r="M84" s="217">
        <f t="shared" si="5"/>
        <v>0</v>
      </c>
      <c r="N84" s="43"/>
      <c r="R84" s="42">
        <f>R86+R85</f>
        <v>0</v>
      </c>
      <c r="S84" s="42">
        <f>S86+S85</f>
        <v>0</v>
      </c>
      <c r="T84" s="217"/>
      <c r="U84" s="42">
        <f>U86+U85</f>
        <v>0</v>
      </c>
      <c r="V84" s="42">
        <f>V86+V85</f>
        <v>0</v>
      </c>
      <c r="W84" s="203">
        <f t="shared" si="18"/>
        <v>0</v>
      </c>
      <c r="X84" s="203">
        <f t="shared" si="19"/>
        <v>0</v>
      </c>
    </row>
    <row r="85" spans="1:24" s="4" customFormat="1" ht="12.75" customHeight="1" x14ac:dyDescent="0.2">
      <c r="A85" s="739" t="s">
        <v>834</v>
      </c>
      <c r="B85" s="68" t="s">
        <v>969</v>
      </c>
      <c r="C85" s="352" t="s">
        <v>608</v>
      </c>
      <c r="D85" s="352" t="s">
        <v>609</v>
      </c>
      <c r="E85" s="380">
        <v>7200382070</v>
      </c>
      <c r="F85" s="242">
        <v>244</v>
      </c>
      <c r="G85" s="43">
        <v>800</v>
      </c>
      <c r="H85" s="43"/>
      <c r="I85" s="43">
        <v>800</v>
      </c>
      <c r="J85" s="43"/>
      <c r="K85" s="43">
        <f t="shared" si="30"/>
        <v>0</v>
      </c>
      <c r="L85" s="43">
        <f t="shared" si="31"/>
        <v>0</v>
      </c>
      <c r="M85" s="217">
        <f t="shared" si="5"/>
        <v>0</v>
      </c>
      <c r="N85" s="43"/>
      <c r="R85" s="43"/>
      <c r="S85" s="43"/>
      <c r="T85" s="217"/>
      <c r="U85" s="43"/>
      <c r="V85" s="43"/>
      <c r="W85" s="203">
        <f t="shared" si="18"/>
        <v>0</v>
      </c>
      <c r="X85" s="203">
        <f t="shared" si="19"/>
        <v>0</v>
      </c>
    </row>
    <row r="86" spans="1:24" s="4" customFormat="1" ht="12.75" hidden="1" customHeight="1" x14ac:dyDescent="0.2">
      <c r="A86" s="120" t="s">
        <v>836</v>
      </c>
      <c r="B86" s="68" t="s">
        <v>969</v>
      </c>
      <c r="C86" s="352" t="s">
        <v>608</v>
      </c>
      <c r="D86" s="352" t="s">
        <v>609</v>
      </c>
      <c r="E86" s="380" t="s">
        <v>950</v>
      </c>
      <c r="F86" s="242">
        <v>811</v>
      </c>
      <c r="G86" s="43"/>
      <c r="H86" s="43"/>
      <c r="I86" s="43"/>
      <c r="J86" s="43"/>
      <c r="K86" s="43">
        <f t="shared" si="30"/>
        <v>0</v>
      </c>
      <c r="L86" s="43">
        <f t="shared" si="31"/>
        <v>0</v>
      </c>
      <c r="M86" s="217">
        <f t="shared" si="5"/>
        <v>0</v>
      </c>
      <c r="N86" s="43"/>
      <c r="R86" s="43"/>
      <c r="S86" s="43"/>
      <c r="T86" s="217"/>
      <c r="U86" s="43"/>
      <c r="V86" s="43"/>
      <c r="W86" s="203">
        <f t="shared" si="18"/>
        <v>0</v>
      </c>
      <c r="X86" s="203">
        <f t="shared" si="19"/>
        <v>0</v>
      </c>
    </row>
    <row r="87" spans="1:24" s="4" customFormat="1" ht="39" customHeight="1" x14ac:dyDescent="0.2">
      <c r="A87" s="738" t="s">
        <v>1864</v>
      </c>
      <c r="B87" s="67" t="s">
        <v>969</v>
      </c>
      <c r="C87" s="347" t="s">
        <v>608</v>
      </c>
      <c r="D87" s="347" t="s">
        <v>609</v>
      </c>
      <c r="E87" s="374">
        <v>7200400000</v>
      </c>
      <c r="F87" s="374"/>
      <c r="G87" s="42">
        <f>G88</f>
        <v>600</v>
      </c>
      <c r="H87" s="42">
        <f>H88</f>
        <v>0</v>
      </c>
      <c r="I87" s="42">
        <f>I88</f>
        <v>600</v>
      </c>
      <c r="J87" s="42">
        <f>J88</f>
        <v>0</v>
      </c>
      <c r="K87" s="43">
        <f t="shared" si="30"/>
        <v>0</v>
      </c>
      <c r="L87" s="43">
        <f t="shared" si="31"/>
        <v>0</v>
      </c>
      <c r="M87" s="217"/>
      <c r="N87" s="43"/>
      <c r="R87" s="43"/>
      <c r="S87" s="43"/>
      <c r="T87" s="217"/>
      <c r="U87" s="43"/>
      <c r="V87" s="43"/>
      <c r="W87" s="203"/>
      <c r="X87" s="203"/>
    </row>
    <row r="88" spans="1:24" s="4" customFormat="1" ht="12.75" customHeight="1" x14ac:dyDescent="0.2">
      <c r="A88" s="738" t="s">
        <v>544</v>
      </c>
      <c r="B88" s="67" t="s">
        <v>969</v>
      </c>
      <c r="C88" s="347" t="s">
        <v>608</v>
      </c>
      <c r="D88" s="347" t="s">
        <v>609</v>
      </c>
      <c r="E88" s="374">
        <v>7200482070</v>
      </c>
      <c r="F88" s="374"/>
      <c r="G88" s="42">
        <f>G89</f>
        <v>600</v>
      </c>
      <c r="H88" s="42">
        <f>H90+H89</f>
        <v>0</v>
      </c>
      <c r="I88" s="42">
        <f>I89</f>
        <v>600</v>
      </c>
      <c r="J88" s="42">
        <f>J90+J89</f>
        <v>0</v>
      </c>
      <c r="K88" s="43">
        <f t="shared" si="30"/>
        <v>0</v>
      </c>
      <c r="L88" s="43">
        <f t="shared" si="31"/>
        <v>0</v>
      </c>
      <c r="M88" s="217"/>
      <c r="N88" s="43"/>
      <c r="R88" s="43"/>
      <c r="S88" s="43"/>
      <c r="T88" s="217"/>
      <c r="U88" s="43"/>
      <c r="V88" s="43"/>
      <c r="W88" s="203"/>
      <c r="X88" s="203"/>
    </row>
    <row r="89" spans="1:24" s="4" customFormat="1" ht="12.75" customHeight="1" x14ac:dyDescent="0.2">
      <c r="A89" s="739" t="s">
        <v>834</v>
      </c>
      <c r="B89" s="68" t="s">
        <v>969</v>
      </c>
      <c r="C89" s="352" t="s">
        <v>608</v>
      </c>
      <c r="D89" s="352" t="s">
        <v>609</v>
      </c>
      <c r="E89" s="380">
        <v>7200482070</v>
      </c>
      <c r="F89" s="242">
        <v>244</v>
      </c>
      <c r="G89" s="43">
        <v>600</v>
      </c>
      <c r="H89" s="43"/>
      <c r="I89" s="43">
        <v>600</v>
      </c>
      <c r="J89" s="43"/>
      <c r="K89" s="43">
        <f t="shared" si="30"/>
        <v>0</v>
      </c>
      <c r="L89" s="43">
        <f t="shared" si="31"/>
        <v>0</v>
      </c>
      <c r="M89" s="217"/>
      <c r="N89" s="43"/>
      <c r="R89" s="43"/>
      <c r="S89" s="43"/>
      <c r="T89" s="217"/>
      <c r="U89" s="43"/>
      <c r="V89" s="43"/>
      <c r="W89" s="203"/>
      <c r="X89" s="203"/>
    </row>
    <row r="90" spans="1:24" s="4" customFormat="1" ht="27.75" customHeight="1" x14ac:dyDescent="0.2">
      <c r="A90" s="738" t="s">
        <v>1865</v>
      </c>
      <c r="B90" s="67" t="s">
        <v>969</v>
      </c>
      <c r="C90" s="347" t="s">
        <v>608</v>
      </c>
      <c r="D90" s="347" t="s">
        <v>609</v>
      </c>
      <c r="E90" s="374">
        <v>7200500000</v>
      </c>
      <c r="F90" s="374"/>
      <c r="G90" s="42">
        <f>G91</f>
        <v>500</v>
      </c>
      <c r="H90" s="42">
        <f>H91</f>
        <v>0</v>
      </c>
      <c r="I90" s="42">
        <f>I91</f>
        <v>780</v>
      </c>
      <c r="J90" s="42">
        <f>J91</f>
        <v>0</v>
      </c>
      <c r="K90" s="43">
        <f t="shared" si="30"/>
        <v>280</v>
      </c>
      <c r="L90" s="43">
        <f t="shared" si="31"/>
        <v>0</v>
      </c>
      <c r="M90" s="217"/>
      <c r="N90" s="43"/>
      <c r="R90" s="43"/>
      <c r="S90" s="43"/>
      <c r="T90" s="217"/>
      <c r="U90" s="43"/>
      <c r="V90" s="43"/>
      <c r="W90" s="203"/>
      <c r="X90" s="203"/>
    </row>
    <row r="91" spans="1:24" s="4" customFormat="1" ht="12.75" customHeight="1" x14ac:dyDescent="0.2">
      <c r="A91" s="738" t="s">
        <v>544</v>
      </c>
      <c r="B91" s="67" t="s">
        <v>969</v>
      </c>
      <c r="C91" s="347" t="s">
        <v>608</v>
      </c>
      <c r="D91" s="347" t="s">
        <v>609</v>
      </c>
      <c r="E91" s="374">
        <v>7200582070</v>
      </c>
      <c r="F91" s="374"/>
      <c r="G91" s="42">
        <f>G92+G93</f>
        <v>500</v>
      </c>
      <c r="H91" s="42">
        <f t="shared" ref="H91:L91" si="32">H92+H93</f>
        <v>0</v>
      </c>
      <c r="I91" s="42">
        <f t="shared" si="32"/>
        <v>780</v>
      </c>
      <c r="J91" s="42">
        <f t="shared" si="32"/>
        <v>0</v>
      </c>
      <c r="K91" s="42">
        <f t="shared" si="32"/>
        <v>280</v>
      </c>
      <c r="L91" s="42">
        <f t="shared" si="32"/>
        <v>0</v>
      </c>
      <c r="M91" s="217"/>
      <c r="N91" s="43"/>
      <c r="R91" s="43"/>
      <c r="S91" s="43"/>
      <c r="T91" s="217"/>
      <c r="U91" s="43"/>
      <c r="V91" s="43"/>
      <c r="W91" s="203"/>
      <c r="X91" s="203"/>
    </row>
    <row r="92" spans="1:24" s="4" customFormat="1" ht="12.75" customHeight="1" x14ac:dyDescent="0.2">
      <c r="A92" s="739" t="s">
        <v>834</v>
      </c>
      <c r="B92" s="68" t="s">
        <v>969</v>
      </c>
      <c r="C92" s="352" t="s">
        <v>608</v>
      </c>
      <c r="D92" s="352" t="s">
        <v>609</v>
      </c>
      <c r="E92" s="380">
        <v>7200582070</v>
      </c>
      <c r="F92" s="242">
        <v>244</v>
      </c>
      <c r="G92" s="43">
        <v>500</v>
      </c>
      <c r="H92" s="43"/>
      <c r="I92" s="43">
        <v>500</v>
      </c>
      <c r="J92" s="43"/>
      <c r="K92" s="43">
        <f t="shared" si="30"/>
        <v>0</v>
      </c>
      <c r="L92" s="43">
        <f t="shared" si="31"/>
        <v>0</v>
      </c>
      <c r="M92" s="217"/>
      <c r="N92" s="43"/>
      <c r="R92" s="43"/>
      <c r="S92" s="43"/>
      <c r="T92" s="217"/>
      <c r="U92" s="43"/>
      <c r="V92" s="43"/>
      <c r="W92" s="203"/>
      <c r="X92" s="203"/>
    </row>
    <row r="93" spans="1:24" s="4" customFormat="1" ht="12.75" customHeight="1" x14ac:dyDescent="0.2">
      <c r="A93" s="744" t="s">
        <v>1584</v>
      </c>
      <c r="B93" s="68" t="s">
        <v>969</v>
      </c>
      <c r="C93" s="352" t="s">
        <v>608</v>
      </c>
      <c r="D93" s="352" t="s">
        <v>609</v>
      </c>
      <c r="E93" s="380">
        <v>7200582070</v>
      </c>
      <c r="F93" s="242">
        <v>540</v>
      </c>
      <c r="G93" s="43"/>
      <c r="H93" s="43"/>
      <c r="I93" s="43">
        <v>280</v>
      </c>
      <c r="J93" s="43"/>
      <c r="K93" s="43">
        <f t="shared" ref="K93" si="33">I93-G93</f>
        <v>280</v>
      </c>
      <c r="L93" s="43">
        <f t="shared" ref="L93" si="34">J93-H93</f>
        <v>0</v>
      </c>
      <c r="M93" s="217"/>
      <c r="N93" s="43"/>
      <c r="R93" s="43"/>
      <c r="S93" s="43"/>
      <c r="T93" s="217"/>
      <c r="U93" s="43"/>
      <c r="V93" s="43"/>
      <c r="W93" s="203"/>
      <c r="X93" s="203"/>
    </row>
    <row r="94" spans="1:24" s="4" customFormat="1" ht="24.75" hidden="1" customHeight="1" x14ac:dyDescent="0.2">
      <c r="A94" s="118" t="s">
        <v>951</v>
      </c>
      <c r="B94" s="67" t="s">
        <v>969</v>
      </c>
      <c r="C94" s="347" t="s">
        <v>608</v>
      </c>
      <c r="D94" s="347" t="s">
        <v>609</v>
      </c>
      <c r="E94" s="374">
        <v>7200600000</v>
      </c>
      <c r="F94" s="374"/>
      <c r="G94" s="42">
        <f>G95</f>
        <v>0</v>
      </c>
      <c r="H94" s="42">
        <f>H95</f>
        <v>0</v>
      </c>
      <c r="I94" s="42">
        <f>I95</f>
        <v>0</v>
      </c>
      <c r="J94" s="42">
        <f>J95</f>
        <v>0</v>
      </c>
      <c r="K94" s="43">
        <f t="shared" si="30"/>
        <v>0</v>
      </c>
      <c r="L94" s="43">
        <f t="shared" si="31"/>
        <v>0</v>
      </c>
      <c r="M94" s="217"/>
      <c r="N94" s="43"/>
      <c r="R94" s="43"/>
      <c r="S94" s="43"/>
      <c r="T94" s="217"/>
      <c r="U94" s="43"/>
      <c r="V94" s="43"/>
      <c r="W94" s="203"/>
      <c r="X94" s="203"/>
    </row>
    <row r="95" spans="1:24" s="4" customFormat="1" ht="12.75" hidden="1" customHeight="1" x14ac:dyDescent="0.2">
      <c r="A95" s="118" t="s">
        <v>544</v>
      </c>
      <c r="B95" s="67" t="s">
        <v>969</v>
      </c>
      <c r="C95" s="347" t="s">
        <v>608</v>
      </c>
      <c r="D95" s="347" t="s">
        <v>609</v>
      </c>
      <c r="E95" s="374">
        <v>7200682070</v>
      </c>
      <c r="F95" s="374"/>
      <c r="G95" s="42">
        <f>G96</f>
        <v>0</v>
      </c>
      <c r="H95" s="42">
        <f>H103+H96</f>
        <v>0</v>
      </c>
      <c r="I95" s="42">
        <f>I96</f>
        <v>0</v>
      </c>
      <c r="J95" s="42">
        <f>J103+J96</f>
        <v>0</v>
      </c>
      <c r="K95" s="43">
        <f t="shared" si="30"/>
        <v>0</v>
      </c>
      <c r="L95" s="43">
        <f t="shared" si="31"/>
        <v>0</v>
      </c>
      <c r="M95" s="217"/>
      <c r="N95" s="43"/>
      <c r="R95" s="43"/>
      <c r="S95" s="43"/>
      <c r="T95" s="217"/>
      <c r="U95" s="43"/>
      <c r="V95" s="43"/>
      <c r="W95" s="203"/>
      <c r="X95" s="203"/>
    </row>
    <row r="96" spans="1:24" s="4" customFormat="1" ht="12.75" hidden="1" customHeight="1" x14ac:dyDescent="0.2">
      <c r="A96" s="124" t="s">
        <v>834</v>
      </c>
      <c r="B96" s="68" t="s">
        <v>969</v>
      </c>
      <c r="C96" s="352" t="s">
        <v>608</v>
      </c>
      <c r="D96" s="352" t="s">
        <v>609</v>
      </c>
      <c r="E96" s="380">
        <v>7200682070</v>
      </c>
      <c r="F96" s="242">
        <v>244</v>
      </c>
      <c r="G96" s="43">
        <v>0</v>
      </c>
      <c r="H96" s="43"/>
      <c r="I96" s="43">
        <v>0</v>
      </c>
      <c r="J96" s="43"/>
      <c r="K96" s="43">
        <f t="shared" si="30"/>
        <v>0</v>
      </c>
      <c r="L96" s="43">
        <f t="shared" si="31"/>
        <v>0</v>
      </c>
      <c r="M96" s="217"/>
      <c r="N96" s="43"/>
      <c r="R96" s="43"/>
      <c r="S96" s="43"/>
      <c r="T96" s="217"/>
      <c r="U96" s="43"/>
      <c r="V96" s="43"/>
      <c r="W96" s="203"/>
      <c r="X96" s="203"/>
    </row>
    <row r="97" spans="1:24" s="4" customFormat="1" ht="27.75" customHeight="1" x14ac:dyDescent="0.2">
      <c r="A97" s="738" t="s">
        <v>1866</v>
      </c>
      <c r="B97" s="67" t="s">
        <v>969</v>
      </c>
      <c r="C97" s="347" t="s">
        <v>608</v>
      </c>
      <c r="D97" s="347" t="s">
        <v>609</v>
      </c>
      <c r="E97" s="374">
        <v>7200700000</v>
      </c>
      <c r="F97" s="374"/>
      <c r="G97" s="42">
        <f>G98</f>
        <v>0</v>
      </c>
      <c r="H97" s="42">
        <f>H98</f>
        <v>0</v>
      </c>
      <c r="I97" s="42">
        <f>I98</f>
        <v>240</v>
      </c>
      <c r="J97" s="42">
        <f>J98</f>
        <v>0</v>
      </c>
      <c r="K97" s="43">
        <f t="shared" si="30"/>
        <v>240</v>
      </c>
      <c r="L97" s="43">
        <f t="shared" si="31"/>
        <v>0</v>
      </c>
      <c r="M97" s="217"/>
      <c r="N97" s="43"/>
      <c r="R97" s="43"/>
      <c r="S97" s="43"/>
      <c r="T97" s="217"/>
      <c r="U97" s="43"/>
      <c r="V97" s="43"/>
      <c r="W97" s="203"/>
      <c r="X97" s="203"/>
    </row>
    <row r="98" spans="1:24" s="4" customFormat="1" ht="12.75" customHeight="1" x14ac:dyDescent="0.2">
      <c r="A98" s="738" t="s">
        <v>544</v>
      </c>
      <c r="B98" s="67" t="s">
        <v>969</v>
      </c>
      <c r="C98" s="347" t="s">
        <v>608</v>
      </c>
      <c r="D98" s="347" t="s">
        <v>609</v>
      </c>
      <c r="E98" s="374">
        <v>7200782070</v>
      </c>
      <c r="F98" s="374"/>
      <c r="G98" s="42">
        <f>G99</f>
        <v>0</v>
      </c>
      <c r="H98" s="42">
        <f>H106+H99</f>
        <v>0</v>
      </c>
      <c r="I98" s="42">
        <f>I99</f>
        <v>240</v>
      </c>
      <c r="J98" s="42">
        <f>J106+J99</f>
        <v>0</v>
      </c>
      <c r="K98" s="43">
        <f t="shared" si="30"/>
        <v>240</v>
      </c>
      <c r="L98" s="43">
        <f t="shared" si="31"/>
        <v>0</v>
      </c>
      <c r="M98" s="217"/>
      <c r="N98" s="43"/>
      <c r="R98" s="43"/>
      <c r="S98" s="43"/>
      <c r="T98" s="217"/>
      <c r="U98" s="43"/>
      <c r="V98" s="43"/>
      <c r="W98" s="203"/>
      <c r="X98" s="203"/>
    </row>
    <row r="99" spans="1:24" s="4" customFormat="1" ht="12.75" customHeight="1" x14ac:dyDescent="0.2">
      <c r="A99" s="739" t="s">
        <v>1554</v>
      </c>
      <c r="B99" s="68" t="s">
        <v>969</v>
      </c>
      <c r="C99" s="352" t="s">
        <v>608</v>
      </c>
      <c r="D99" s="352" t="s">
        <v>609</v>
      </c>
      <c r="E99" s="380">
        <v>7200782070</v>
      </c>
      <c r="F99" s="242">
        <v>350</v>
      </c>
      <c r="G99" s="43">
        <v>0</v>
      </c>
      <c r="H99" s="43"/>
      <c r="I99" s="43">
        <v>240</v>
      </c>
      <c r="J99" s="43"/>
      <c r="K99" s="43">
        <f t="shared" si="30"/>
        <v>240</v>
      </c>
      <c r="L99" s="43">
        <f t="shared" si="31"/>
        <v>0</v>
      </c>
      <c r="M99" s="217"/>
      <c r="N99" s="43"/>
      <c r="R99" s="43"/>
      <c r="S99" s="43"/>
      <c r="T99" s="217"/>
      <c r="U99" s="43"/>
      <c r="V99" s="43"/>
      <c r="W99" s="203"/>
      <c r="X99" s="203"/>
    </row>
    <row r="100" spans="1:24" s="4" customFormat="1" ht="41.25" hidden="1" customHeight="1" x14ac:dyDescent="0.2">
      <c r="A100" s="118" t="s">
        <v>1485</v>
      </c>
      <c r="B100" s="67" t="s">
        <v>969</v>
      </c>
      <c r="C100" s="347" t="s">
        <v>608</v>
      </c>
      <c r="D100" s="347" t="s">
        <v>609</v>
      </c>
      <c r="E100" s="374">
        <v>7400000000</v>
      </c>
      <c r="F100" s="571"/>
      <c r="G100" s="42">
        <f t="shared" ref="G100:J102" si="35">G101</f>
        <v>0</v>
      </c>
      <c r="H100" s="42">
        <f t="shared" si="35"/>
        <v>0</v>
      </c>
      <c r="I100" s="42">
        <f t="shared" si="35"/>
        <v>0</v>
      </c>
      <c r="J100" s="42">
        <f t="shared" si="35"/>
        <v>0</v>
      </c>
      <c r="K100" s="42">
        <f t="shared" si="30"/>
        <v>0</v>
      </c>
      <c r="L100" s="42">
        <f t="shared" si="31"/>
        <v>0</v>
      </c>
      <c r="M100" s="217"/>
      <c r="N100" s="43"/>
      <c r="R100" s="42">
        <f t="shared" ref="R100:S102" si="36">R101</f>
        <v>0</v>
      </c>
      <c r="S100" s="42">
        <f t="shared" si="36"/>
        <v>0</v>
      </c>
      <c r="T100" s="217"/>
      <c r="U100" s="43"/>
      <c r="V100" s="43"/>
      <c r="W100" s="203"/>
      <c r="X100" s="203"/>
    </row>
    <row r="101" spans="1:24" s="4" customFormat="1" ht="25.5" hidden="1" customHeight="1" x14ac:dyDescent="0.2">
      <c r="A101" s="118" t="s">
        <v>1486</v>
      </c>
      <c r="B101" s="67" t="s">
        <v>969</v>
      </c>
      <c r="C101" s="347" t="s">
        <v>608</v>
      </c>
      <c r="D101" s="347" t="s">
        <v>609</v>
      </c>
      <c r="E101" s="374">
        <v>7400100000</v>
      </c>
      <c r="F101" s="571"/>
      <c r="G101" s="42">
        <f t="shared" si="35"/>
        <v>0</v>
      </c>
      <c r="H101" s="42">
        <f t="shared" si="35"/>
        <v>0</v>
      </c>
      <c r="I101" s="42">
        <f t="shared" si="35"/>
        <v>0</v>
      </c>
      <c r="J101" s="42">
        <f t="shared" si="35"/>
        <v>0</v>
      </c>
      <c r="K101" s="42">
        <f t="shared" si="30"/>
        <v>0</v>
      </c>
      <c r="L101" s="42">
        <f t="shared" si="31"/>
        <v>0</v>
      </c>
      <c r="M101" s="217"/>
      <c r="N101" s="43"/>
      <c r="R101" s="42">
        <f t="shared" si="36"/>
        <v>0</v>
      </c>
      <c r="S101" s="42">
        <f t="shared" si="36"/>
        <v>0</v>
      </c>
      <c r="T101" s="217"/>
      <c r="U101" s="43"/>
      <c r="V101" s="43"/>
      <c r="W101" s="203"/>
      <c r="X101" s="203"/>
    </row>
    <row r="102" spans="1:24" s="4" customFormat="1" ht="92.25" hidden="1" customHeight="1" x14ac:dyDescent="0.2">
      <c r="A102" s="569" t="s">
        <v>1024</v>
      </c>
      <c r="B102" s="67" t="s">
        <v>969</v>
      </c>
      <c r="C102" s="347" t="s">
        <v>608</v>
      </c>
      <c r="D102" s="347" t="s">
        <v>609</v>
      </c>
      <c r="E102" s="374" t="s">
        <v>1029</v>
      </c>
      <c r="F102" s="571"/>
      <c r="G102" s="42">
        <f t="shared" si="35"/>
        <v>0</v>
      </c>
      <c r="H102" s="42">
        <f t="shared" si="35"/>
        <v>0</v>
      </c>
      <c r="I102" s="42">
        <f t="shared" si="35"/>
        <v>0</v>
      </c>
      <c r="J102" s="42">
        <f t="shared" si="35"/>
        <v>0</v>
      </c>
      <c r="K102" s="42">
        <f t="shared" si="30"/>
        <v>0</v>
      </c>
      <c r="L102" s="42">
        <f t="shared" si="31"/>
        <v>0</v>
      </c>
      <c r="M102" s="217"/>
      <c r="N102" s="43"/>
      <c r="R102" s="42">
        <f t="shared" si="36"/>
        <v>0</v>
      </c>
      <c r="S102" s="42">
        <f t="shared" si="36"/>
        <v>0</v>
      </c>
      <c r="T102" s="217"/>
      <c r="U102" s="43"/>
      <c r="V102" s="43"/>
      <c r="W102" s="203"/>
      <c r="X102" s="203"/>
    </row>
    <row r="103" spans="1:24" s="4" customFormat="1" ht="12.75" hidden="1" customHeight="1" x14ac:dyDescent="0.2">
      <c r="A103" s="124" t="s">
        <v>834</v>
      </c>
      <c r="B103" s="68" t="s">
        <v>969</v>
      </c>
      <c r="C103" s="352" t="s">
        <v>608</v>
      </c>
      <c r="D103" s="352" t="s">
        <v>609</v>
      </c>
      <c r="E103" s="380" t="s">
        <v>1029</v>
      </c>
      <c r="F103" s="242">
        <v>244</v>
      </c>
      <c r="G103" s="43"/>
      <c r="H103" s="43"/>
      <c r="I103" s="43"/>
      <c r="J103" s="43"/>
      <c r="K103" s="43">
        <f t="shared" si="30"/>
        <v>0</v>
      </c>
      <c r="L103" s="43">
        <f t="shared" si="31"/>
        <v>0</v>
      </c>
      <c r="M103" s="217"/>
      <c r="N103" s="43"/>
      <c r="R103" s="43"/>
      <c r="S103" s="43"/>
      <c r="T103" s="217"/>
      <c r="U103" s="43"/>
      <c r="V103" s="43"/>
      <c r="W103" s="203"/>
      <c r="X103" s="203"/>
    </row>
    <row r="104" spans="1:24" s="4" customFormat="1" ht="25.5" x14ac:dyDescent="0.2">
      <c r="A104" s="742" t="s">
        <v>1297</v>
      </c>
      <c r="B104" s="67" t="s">
        <v>969</v>
      </c>
      <c r="C104" s="347" t="s">
        <v>608</v>
      </c>
      <c r="D104" s="347" t="s">
        <v>609</v>
      </c>
      <c r="E104" s="377" t="s">
        <v>729</v>
      </c>
      <c r="F104" s="377"/>
      <c r="G104" s="42">
        <f>G105</f>
        <v>90</v>
      </c>
      <c r="H104" s="42">
        <v>0</v>
      </c>
      <c r="I104" s="42">
        <f>I105</f>
        <v>80</v>
      </c>
      <c r="J104" s="42">
        <v>0</v>
      </c>
      <c r="K104" s="42">
        <f t="shared" si="30"/>
        <v>-10</v>
      </c>
      <c r="L104" s="42">
        <f t="shared" si="31"/>
        <v>0</v>
      </c>
      <c r="M104" s="217">
        <f t="shared" si="5"/>
        <v>0</v>
      </c>
      <c r="N104" s="43"/>
      <c r="R104" s="42">
        <f>R105</f>
        <v>80</v>
      </c>
      <c r="S104" s="42">
        <v>0</v>
      </c>
      <c r="T104" s="217"/>
      <c r="U104" s="42">
        <f>U105</f>
        <v>110</v>
      </c>
      <c r="V104" s="42">
        <v>0</v>
      </c>
      <c r="W104" s="203">
        <f t="shared" si="18"/>
        <v>10</v>
      </c>
      <c r="X104" s="203">
        <f t="shared" si="19"/>
        <v>0</v>
      </c>
    </row>
    <row r="105" spans="1:24" s="4" customFormat="1" ht="15" x14ac:dyDescent="0.2">
      <c r="A105" s="742" t="s">
        <v>364</v>
      </c>
      <c r="B105" s="67" t="s">
        <v>969</v>
      </c>
      <c r="C105" s="347" t="s">
        <v>608</v>
      </c>
      <c r="D105" s="347" t="s">
        <v>609</v>
      </c>
      <c r="E105" s="377" t="s">
        <v>739</v>
      </c>
      <c r="F105" s="377"/>
      <c r="G105" s="42">
        <f>G106</f>
        <v>90</v>
      </c>
      <c r="H105" s="42">
        <v>0</v>
      </c>
      <c r="I105" s="42">
        <f>I106</f>
        <v>80</v>
      </c>
      <c r="J105" s="42">
        <v>0</v>
      </c>
      <c r="K105" s="42">
        <f t="shared" si="30"/>
        <v>-10</v>
      </c>
      <c r="L105" s="42">
        <f t="shared" si="31"/>
        <v>0</v>
      </c>
      <c r="M105" s="217">
        <f t="shared" si="5"/>
        <v>0</v>
      </c>
      <c r="N105" s="43"/>
      <c r="R105" s="42">
        <f>R106</f>
        <v>80</v>
      </c>
      <c r="S105" s="42">
        <v>0</v>
      </c>
      <c r="T105" s="217"/>
      <c r="U105" s="42">
        <f>U106</f>
        <v>110</v>
      </c>
      <c r="V105" s="42">
        <v>0</v>
      </c>
      <c r="W105" s="203">
        <f t="shared" si="18"/>
        <v>10</v>
      </c>
      <c r="X105" s="203">
        <f t="shared" si="19"/>
        <v>0</v>
      </c>
    </row>
    <row r="106" spans="1:24" s="4" customFormat="1" ht="15" x14ac:dyDescent="0.2">
      <c r="A106" s="742" t="s">
        <v>734</v>
      </c>
      <c r="B106" s="67" t="s">
        <v>969</v>
      </c>
      <c r="C106" s="347" t="s">
        <v>608</v>
      </c>
      <c r="D106" s="347" t="s">
        <v>609</v>
      </c>
      <c r="E106" s="377" t="s">
        <v>741</v>
      </c>
      <c r="F106" s="377"/>
      <c r="G106" s="42">
        <f>G107</f>
        <v>90</v>
      </c>
      <c r="H106" s="42">
        <v>0</v>
      </c>
      <c r="I106" s="42">
        <f>I107</f>
        <v>80</v>
      </c>
      <c r="J106" s="42">
        <v>0</v>
      </c>
      <c r="K106" s="42">
        <f t="shared" si="30"/>
        <v>-10</v>
      </c>
      <c r="L106" s="42">
        <f t="shared" si="31"/>
        <v>0</v>
      </c>
      <c r="M106" s="217">
        <f t="shared" si="5"/>
        <v>0</v>
      </c>
      <c r="N106" s="43"/>
      <c r="R106" s="42">
        <f>R107</f>
        <v>80</v>
      </c>
      <c r="S106" s="42">
        <v>0</v>
      </c>
      <c r="T106" s="217"/>
      <c r="U106" s="42">
        <f>U107</f>
        <v>110</v>
      </c>
      <c r="V106" s="42">
        <v>0</v>
      </c>
      <c r="W106" s="203">
        <f t="shared" si="18"/>
        <v>10</v>
      </c>
      <c r="X106" s="203">
        <f t="shared" si="19"/>
        <v>0</v>
      </c>
    </row>
    <row r="107" spans="1:24" s="4" customFormat="1" ht="15" x14ac:dyDescent="0.2">
      <c r="A107" s="739" t="s">
        <v>834</v>
      </c>
      <c r="B107" s="68" t="s">
        <v>969</v>
      </c>
      <c r="C107" s="352" t="s">
        <v>608</v>
      </c>
      <c r="D107" s="352" t="s">
        <v>609</v>
      </c>
      <c r="E107" s="378" t="s">
        <v>741</v>
      </c>
      <c r="F107" s="378" t="s">
        <v>634</v>
      </c>
      <c r="G107" s="43">
        <v>90</v>
      </c>
      <c r="H107" s="43"/>
      <c r="I107" s="43">
        <v>80</v>
      </c>
      <c r="J107" s="43"/>
      <c r="K107" s="43">
        <f t="shared" si="30"/>
        <v>-10</v>
      </c>
      <c r="L107" s="43">
        <f t="shared" si="31"/>
        <v>0</v>
      </c>
      <c r="M107" s="217">
        <f>I107-G107-K107</f>
        <v>0</v>
      </c>
      <c r="N107" s="43"/>
      <c r="R107" s="43">
        <v>80</v>
      </c>
      <c r="S107" s="43"/>
      <c r="T107" s="217"/>
      <c r="U107" s="43">
        <v>110</v>
      </c>
      <c r="V107" s="43">
        <v>0</v>
      </c>
      <c r="W107" s="203">
        <f t="shared" si="18"/>
        <v>10</v>
      </c>
      <c r="X107" s="203">
        <f>K107+W107</f>
        <v>0</v>
      </c>
    </row>
    <row r="108" spans="1:24" s="4" customFormat="1" ht="30" hidden="1" customHeight="1" x14ac:dyDescent="0.2">
      <c r="A108" s="451" t="s">
        <v>1187</v>
      </c>
      <c r="B108" s="67" t="s">
        <v>969</v>
      </c>
      <c r="C108" s="347" t="s">
        <v>608</v>
      </c>
      <c r="D108" s="347" t="s">
        <v>609</v>
      </c>
      <c r="E108" s="377" t="s">
        <v>1190</v>
      </c>
      <c r="F108" s="387"/>
      <c r="G108" s="292">
        <f t="shared" ref="G108:J110" si="37">G109</f>
        <v>0</v>
      </c>
      <c r="H108" s="292">
        <f t="shared" si="37"/>
        <v>0</v>
      </c>
      <c r="I108" s="292">
        <f t="shared" si="37"/>
        <v>0</v>
      </c>
      <c r="J108" s="292">
        <f t="shared" si="37"/>
        <v>0</v>
      </c>
      <c r="K108" s="292">
        <f t="shared" si="30"/>
        <v>0</v>
      </c>
      <c r="L108" s="292">
        <f t="shared" si="31"/>
        <v>0</v>
      </c>
      <c r="M108" s="217">
        <f t="shared" si="5"/>
        <v>0</v>
      </c>
      <c r="N108" s="43"/>
      <c r="R108" s="292">
        <f t="shared" ref="R108:S110" si="38">R109</f>
        <v>1000</v>
      </c>
      <c r="S108" s="292">
        <f t="shared" si="38"/>
        <v>0</v>
      </c>
      <c r="T108" s="217"/>
      <c r="U108" s="292">
        <f t="shared" ref="U108:V110" si="39">U109</f>
        <v>150</v>
      </c>
      <c r="V108" s="292">
        <f t="shared" si="39"/>
        <v>0</v>
      </c>
      <c r="W108" s="203"/>
      <c r="X108" s="203"/>
    </row>
    <row r="109" spans="1:24" s="4" customFormat="1" ht="15" hidden="1" x14ac:dyDescent="0.2">
      <c r="A109" s="451" t="s">
        <v>1188</v>
      </c>
      <c r="B109" s="67" t="s">
        <v>969</v>
      </c>
      <c r="C109" s="347" t="s">
        <v>608</v>
      </c>
      <c r="D109" s="347" t="s">
        <v>609</v>
      </c>
      <c r="E109" s="377" t="s">
        <v>1191</v>
      </c>
      <c r="F109" s="387"/>
      <c r="G109" s="292">
        <f t="shared" si="37"/>
        <v>0</v>
      </c>
      <c r="H109" s="292">
        <f t="shared" si="37"/>
        <v>0</v>
      </c>
      <c r="I109" s="292">
        <f t="shared" si="37"/>
        <v>0</v>
      </c>
      <c r="J109" s="292">
        <f t="shared" si="37"/>
        <v>0</v>
      </c>
      <c r="K109" s="292">
        <f t="shared" si="30"/>
        <v>0</v>
      </c>
      <c r="L109" s="292">
        <f t="shared" si="31"/>
        <v>0</v>
      </c>
      <c r="M109" s="217">
        <f t="shared" si="5"/>
        <v>0</v>
      </c>
      <c r="N109" s="43"/>
      <c r="R109" s="292">
        <f t="shared" si="38"/>
        <v>1000</v>
      </c>
      <c r="S109" s="292">
        <f t="shared" si="38"/>
        <v>0</v>
      </c>
      <c r="T109" s="217"/>
      <c r="U109" s="292">
        <f t="shared" si="39"/>
        <v>150</v>
      </c>
      <c r="V109" s="292">
        <f t="shared" si="39"/>
        <v>0</v>
      </c>
      <c r="W109" s="203"/>
      <c r="X109" s="203"/>
    </row>
    <row r="110" spans="1:24" s="4" customFormat="1" ht="15" hidden="1" x14ac:dyDescent="0.2">
      <c r="A110" s="451" t="s">
        <v>544</v>
      </c>
      <c r="B110" s="67" t="s">
        <v>969</v>
      </c>
      <c r="C110" s="347" t="s">
        <v>608</v>
      </c>
      <c r="D110" s="347" t="s">
        <v>609</v>
      </c>
      <c r="E110" s="377" t="s">
        <v>1189</v>
      </c>
      <c r="F110" s="387"/>
      <c r="G110" s="292">
        <f t="shared" si="37"/>
        <v>0</v>
      </c>
      <c r="H110" s="292">
        <f t="shared" si="37"/>
        <v>0</v>
      </c>
      <c r="I110" s="292">
        <f t="shared" si="37"/>
        <v>0</v>
      </c>
      <c r="J110" s="292">
        <f t="shared" si="37"/>
        <v>0</v>
      </c>
      <c r="K110" s="292">
        <f t="shared" si="30"/>
        <v>0</v>
      </c>
      <c r="L110" s="292">
        <f t="shared" si="31"/>
        <v>0</v>
      </c>
      <c r="M110" s="217">
        <f t="shared" si="5"/>
        <v>0</v>
      </c>
      <c r="N110" s="43"/>
      <c r="R110" s="292">
        <f t="shared" si="38"/>
        <v>1000</v>
      </c>
      <c r="S110" s="292">
        <f t="shared" si="38"/>
        <v>0</v>
      </c>
      <c r="T110" s="217"/>
      <c r="U110" s="292">
        <f t="shared" si="39"/>
        <v>150</v>
      </c>
      <c r="V110" s="292">
        <f t="shared" si="39"/>
        <v>0</v>
      </c>
      <c r="W110" s="203"/>
      <c r="X110" s="203"/>
    </row>
    <row r="111" spans="1:24" s="4" customFormat="1" ht="25.5" hidden="1" x14ac:dyDescent="0.2">
      <c r="A111" s="120" t="s">
        <v>836</v>
      </c>
      <c r="B111" s="68" t="s">
        <v>969</v>
      </c>
      <c r="C111" s="352" t="s">
        <v>608</v>
      </c>
      <c r="D111" s="352" t="s">
        <v>609</v>
      </c>
      <c r="E111" s="380" t="s">
        <v>1189</v>
      </c>
      <c r="F111" s="242">
        <v>811</v>
      </c>
      <c r="G111" s="43"/>
      <c r="H111" s="43"/>
      <c r="I111" s="43"/>
      <c r="J111" s="43"/>
      <c r="K111" s="43">
        <f t="shared" si="30"/>
        <v>0</v>
      </c>
      <c r="L111" s="43">
        <f t="shared" si="31"/>
        <v>0</v>
      </c>
      <c r="M111" s="217">
        <f t="shared" si="5"/>
        <v>0</v>
      </c>
      <c r="N111" s="43"/>
      <c r="R111" s="43">
        <v>1000</v>
      </c>
      <c r="S111" s="43"/>
      <c r="T111" s="217"/>
      <c r="U111" s="43">
        <v>150</v>
      </c>
      <c r="V111" s="43">
        <v>0</v>
      </c>
      <c r="W111" s="203"/>
      <c r="X111" s="203"/>
    </row>
    <row r="112" spans="1:24" s="4" customFormat="1" ht="25.5" x14ac:dyDescent="0.2">
      <c r="A112" s="742" t="s">
        <v>1205</v>
      </c>
      <c r="B112" s="67" t="s">
        <v>969</v>
      </c>
      <c r="C112" s="347" t="s">
        <v>608</v>
      </c>
      <c r="D112" s="347" t="s">
        <v>609</v>
      </c>
      <c r="E112" s="377" t="s">
        <v>1206</v>
      </c>
      <c r="F112" s="377"/>
      <c r="G112" s="42">
        <f>G119+G113+G116+G123</f>
        <v>912</v>
      </c>
      <c r="H112" s="42">
        <f>H119+H113+H116+H123</f>
        <v>0</v>
      </c>
      <c r="I112" s="42">
        <f>I119+I113+I116+I123</f>
        <v>912</v>
      </c>
      <c r="J112" s="42">
        <f>J119+J113+J116+J123</f>
        <v>0</v>
      </c>
      <c r="K112" s="42">
        <f t="shared" si="30"/>
        <v>0</v>
      </c>
      <c r="L112" s="42">
        <f t="shared" si="31"/>
        <v>0</v>
      </c>
      <c r="M112" s="217">
        <f t="shared" si="5"/>
        <v>0</v>
      </c>
      <c r="N112" s="43"/>
      <c r="R112" s="42">
        <f>R119+R113+R116+R123</f>
        <v>350</v>
      </c>
      <c r="S112" s="42">
        <f>S119+S113+S116+S123</f>
        <v>0</v>
      </c>
      <c r="T112" s="217"/>
      <c r="U112" s="42">
        <f>U119+U113+U116+U123</f>
        <v>250</v>
      </c>
      <c r="V112" s="42">
        <f>V119+V113+V116+V123</f>
        <v>0</v>
      </c>
      <c r="W112" s="203"/>
      <c r="X112" s="203"/>
    </row>
    <row r="113" spans="1:24" s="4" customFormat="1" ht="25.5" x14ac:dyDescent="0.2">
      <c r="A113" s="742" t="s">
        <v>1244</v>
      </c>
      <c r="B113" s="67" t="s">
        <v>969</v>
      </c>
      <c r="C113" s="347" t="s">
        <v>608</v>
      </c>
      <c r="D113" s="347" t="s">
        <v>609</v>
      </c>
      <c r="E113" s="377">
        <v>8900200000</v>
      </c>
      <c r="F113" s="377"/>
      <c r="G113" s="42">
        <f t="shared" ref="G113:J114" si="40">G114</f>
        <v>320</v>
      </c>
      <c r="H113" s="42">
        <f t="shared" si="40"/>
        <v>0</v>
      </c>
      <c r="I113" s="42">
        <f t="shared" si="40"/>
        <v>320</v>
      </c>
      <c r="J113" s="42">
        <f t="shared" si="40"/>
        <v>0</v>
      </c>
      <c r="K113" s="42">
        <f t="shared" si="30"/>
        <v>0</v>
      </c>
      <c r="L113" s="42">
        <f t="shared" si="31"/>
        <v>0</v>
      </c>
      <c r="M113" s="217">
        <f t="shared" ref="M113:M197" si="41">I113-G113-K113</f>
        <v>0</v>
      </c>
      <c r="N113" s="43"/>
      <c r="R113" s="42">
        <f>R114</f>
        <v>0</v>
      </c>
      <c r="S113" s="42">
        <f>S114</f>
        <v>0</v>
      </c>
      <c r="T113" s="217"/>
      <c r="U113" s="42">
        <f>U114</f>
        <v>0</v>
      </c>
      <c r="V113" s="42">
        <f>V114</f>
        <v>0</v>
      </c>
      <c r="W113" s="203"/>
      <c r="X113" s="203"/>
    </row>
    <row r="114" spans="1:24" s="4" customFormat="1" ht="15" x14ac:dyDescent="0.2">
      <c r="A114" s="742" t="s">
        <v>1283</v>
      </c>
      <c r="B114" s="67" t="s">
        <v>969</v>
      </c>
      <c r="C114" s="347" t="s">
        <v>608</v>
      </c>
      <c r="D114" s="347" t="s">
        <v>609</v>
      </c>
      <c r="E114" s="377">
        <v>8900282970</v>
      </c>
      <c r="F114" s="377"/>
      <c r="G114" s="42">
        <f t="shared" si="40"/>
        <v>320</v>
      </c>
      <c r="H114" s="42">
        <f t="shared" si="40"/>
        <v>0</v>
      </c>
      <c r="I114" s="42">
        <f t="shared" si="40"/>
        <v>320</v>
      </c>
      <c r="J114" s="42">
        <f t="shared" si="40"/>
        <v>0</v>
      </c>
      <c r="K114" s="42">
        <f t="shared" si="30"/>
        <v>0</v>
      </c>
      <c r="L114" s="42">
        <f t="shared" si="31"/>
        <v>0</v>
      </c>
      <c r="M114" s="217">
        <f t="shared" si="41"/>
        <v>0</v>
      </c>
      <c r="N114" s="43"/>
      <c r="R114" s="42">
        <f>R115</f>
        <v>0</v>
      </c>
      <c r="S114" s="42">
        <f>S115</f>
        <v>0</v>
      </c>
      <c r="T114" s="217"/>
      <c r="U114" s="42">
        <f>U115</f>
        <v>0</v>
      </c>
      <c r="V114" s="42">
        <f>V115</f>
        <v>0</v>
      </c>
      <c r="W114" s="203"/>
      <c r="X114" s="203"/>
    </row>
    <row r="115" spans="1:24" s="4" customFormat="1" ht="15" x14ac:dyDescent="0.2">
      <c r="A115" s="739" t="s">
        <v>834</v>
      </c>
      <c r="B115" s="331" t="s">
        <v>969</v>
      </c>
      <c r="C115" s="351" t="s">
        <v>608</v>
      </c>
      <c r="D115" s="351" t="s">
        <v>609</v>
      </c>
      <c r="E115" s="378">
        <v>8900282970</v>
      </c>
      <c r="F115" s="378">
        <v>244</v>
      </c>
      <c r="G115" s="43">
        <v>320</v>
      </c>
      <c r="H115" s="43"/>
      <c r="I115" s="43">
        <v>320</v>
      </c>
      <c r="J115" s="43"/>
      <c r="K115" s="43">
        <f t="shared" si="30"/>
        <v>0</v>
      </c>
      <c r="L115" s="43">
        <f t="shared" si="31"/>
        <v>0</v>
      </c>
      <c r="M115" s="217">
        <f t="shared" si="41"/>
        <v>0</v>
      </c>
      <c r="N115" s="43"/>
      <c r="R115" s="43">
        <v>0</v>
      </c>
      <c r="S115" s="43">
        <v>0</v>
      </c>
      <c r="T115" s="217"/>
      <c r="U115" s="43">
        <v>0</v>
      </c>
      <c r="V115" s="43">
        <v>0</v>
      </c>
      <c r="W115" s="203"/>
      <c r="X115" s="203"/>
    </row>
    <row r="116" spans="1:24" s="4" customFormat="1" ht="27.75" hidden="1" customHeight="1" x14ac:dyDescent="0.2">
      <c r="A116" s="121" t="s">
        <v>1298</v>
      </c>
      <c r="B116" s="67" t="s">
        <v>969</v>
      </c>
      <c r="C116" s="347" t="s">
        <v>608</v>
      </c>
      <c r="D116" s="347" t="s">
        <v>609</v>
      </c>
      <c r="E116" s="377">
        <v>8900300000</v>
      </c>
      <c r="F116" s="377"/>
      <c r="G116" s="42">
        <f t="shared" ref="G116:J117" si="42">G117</f>
        <v>0</v>
      </c>
      <c r="H116" s="42">
        <f t="shared" si="42"/>
        <v>0</v>
      </c>
      <c r="I116" s="42">
        <f t="shared" si="42"/>
        <v>0</v>
      </c>
      <c r="J116" s="42">
        <f t="shared" si="42"/>
        <v>0</v>
      </c>
      <c r="K116" s="42">
        <f t="shared" si="30"/>
        <v>0</v>
      </c>
      <c r="L116" s="42">
        <f t="shared" si="31"/>
        <v>0</v>
      </c>
      <c r="M116" s="217">
        <f>I116-G116-K116</f>
        <v>0</v>
      </c>
      <c r="N116" s="43"/>
      <c r="R116" s="42">
        <f>R117</f>
        <v>0</v>
      </c>
      <c r="S116" s="42">
        <f>S117</f>
        <v>0</v>
      </c>
      <c r="T116" s="217"/>
      <c r="U116" s="42">
        <f>U117</f>
        <v>0</v>
      </c>
      <c r="V116" s="42">
        <f>V117</f>
        <v>0</v>
      </c>
      <c r="W116" s="203"/>
      <c r="X116" s="203"/>
    </row>
    <row r="117" spans="1:24" s="4" customFormat="1" ht="18" hidden="1" customHeight="1" x14ac:dyDescent="0.2">
      <c r="A117" s="121" t="s">
        <v>1283</v>
      </c>
      <c r="B117" s="67" t="s">
        <v>969</v>
      </c>
      <c r="C117" s="347" t="s">
        <v>608</v>
      </c>
      <c r="D117" s="347" t="s">
        <v>609</v>
      </c>
      <c r="E117" s="377">
        <v>8900382970</v>
      </c>
      <c r="F117" s="377"/>
      <c r="G117" s="42">
        <f t="shared" si="42"/>
        <v>0</v>
      </c>
      <c r="H117" s="42">
        <f t="shared" si="42"/>
        <v>0</v>
      </c>
      <c r="I117" s="42">
        <f t="shared" si="42"/>
        <v>0</v>
      </c>
      <c r="J117" s="42">
        <f t="shared" si="42"/>
        <v>0</v>
      </c>
      <c r="K117" s="42">
        <f t="shared" si="30"/>
        <v>0</v>
      </c>
      <c r="L117" s="42">
        <f t="shared" si="31"/>
        <v>0</v>
      </c>
      <c r="M117" s="217">
        <f t="shared" si="41"/>
        <v>0</v>
      </c>
      <c r="N117" s="43"/>
      <c r="R117" s="42">
        <f>R118</f>
        <v>0</v>
      </c>
      <c r="S117" s="42">
        <f>S118</f>
        <v>0</v>
      </c>
      <c r="T117" s="217"/>
      <c r="U117" s="42">
        <f>U118</f>
        <v>0</v>
      </c>
      <c r="V117" s="42">
        <f>V118</f>
        <v>0</v>
      </c>
      <c r="W117" s="203"/>
      <c r="X117" s="203"/>
    </row>
    <row r="118" spans="1:24" s="4" customFormat="1" ht="18" hidden="1" customHeight="1" x14ac:dyDescent="0.2">
      <c r="A118" s="124" t="s">
        <v>834</v>
      </c>
      <c r="B118" s="331" t="s">
        <v>969</v>
      </c>
      <c r="C118" s="351" t="s">
        <v>608</v>
      </c>
      <c r="D118" s="351" t="s">
        <v>609</v>
      </c>
      <c r="E118" s="378">
        <v>8900382970</v>
      </c>
      <c r="F118" s="378">
        <v>244</v>
      </c>
      <c r="G118" s="43">
        <v>0</v>
      </c>
      <c r="H118" s="43">
        <v>0</v>
      </c>
      <c r="I118" s="43">
        <v>0</v>
      </c>
      <c r="J118" s="43">
        <v>0</v>
      </c>
      <c r="K118" s="43">
        <f t="shared" si="30"/>
        <v>0</v>
      </c>
      <c r="L118" s="43">
        <f t="shared" si="31"/>
        <v>0</v>
      </c>
      <c r="M118" s="217">
        <f t="shared" si="41"/>
        <v>0</v>
      </c>
      <c r="N118" s="43"/>
      <c r="R118" s="43">
        <v>0</v>
      </c>
      <c r="S118" s="43">
        <v>0</v>
      </c>
      <c r="T118" s="217"/>
      <c r="U118" s="43">
        <v>0</v>
      </c>
      <c r="V118" s="43">
        <v>0</v>
      </c>
      <c r="W118" s="203"/>
      <c r="X118" s="203"/>
    </row>
    <row r="119" spans="1:24" s="4" customFormat="1" ht="38.25" x14ac:dyDescent="0.2">
      <c r="A119" s="742" t="s">
        <v>1250</v>
      </c>
      <c r="B119" s="67" t="s">
        <v>969</v>
      </c>
      <c r="C119" s="347" t="s">
        <v>608</v>
      </c>
      <c r="D119" s="347" t="s">
        <v>609</v>
      </c>
      <c r="E119" s="377">
        <v>8900400000</v>
      </c>
      <c r="F119" s="377"/>
      <c r="G119" s="42">
        <f t="shared" ref="G119:J124" si="43">G120</f>
        <v>592</v>
      </c>
      <c r="H119" s="42">
        <f t="shared" si="43"/>
        <v>0</v>
      </c>
      <c r="I119" s="42">
        <f t="shared" si="43"/>
        <v>592</v>
      </c>
      <c r="J119" s="42">
        <f t="shared" si="43"/>
        <v>0</v>
      </c>
      <c r="K119" s="42">
        <f t="shared" si="30"/>
        <v>0</v>
      </c>
      <c r="L119" s="42">
        <f t="shared" si="31"/>
        <v>0</v>
      </c>
      <c r="M119" s="217">
        <f t="shared" si="41"/>
        <v>0</v>
      </c>
      <c r="N119" s="43"/>
      <c r="R119" s="42">
        <f t="shared" ref="R119:S124" si="44">R120</f>
        <v>350</v>
      </c>
      <c r="S119" s="42">
        <f t="shared" si="44"/>
        <v>0</v>
      </c>
      <c r="T119" s="217"/>
      <c r="U119" s="42">
        <f t="shared" ref="U119:V124" si="45">U120</f>
        <v>250</v>
      </c>
      <c r="V119" s="42">
        <f t="shared" si="45"/>
        <v>0</v>
      </c>
      <c r="W119" s="203"/>
      <c r="X119" s="203"/>
    </row>
    <row r="120" spans="1:24" s="4" customFormat="1" ht="15" x14ac:dyDescent="0.2">
      <c r="A120" s="742" t="s">
        <v>544</v>
      </c>
      <c r="B120" s="67" t="s">
        <v>969</v>
      </c>
      <c r="C120" s="347" t="s">
        <v>608</v>
      </c>
      <c r="D120" s="347" t="s">
        <v>609</v>
      </c>
      <c r="E120" s="377">
        <v>8900482070</v>
      </c>
      <c r="F120" s="377"/>
      <c r="G120" s="42">
        <f>G121+G122</f>
        <v>592</v>
      </c>
      <c r="H120" s="42">
        <f>H121+H122</f>
        <v>0</v>
      </c>
      <c r="I120" s="42">
        <f>I121+I122</f>
        <v>592</v>
      </c>
      <c r="J120" s="42">
        <f>J121+J122</f>
        <v>0</v>
      </c>
      <c r="K120" s="42">
        <f t="shared" si="30"/>
        <v>0</v>
      </c>
      <c r="L120" s="42">
        <f t="shared" si="31"/>
        <v>0</v>
      </c>
      <c r="M120" s="217">
        <f t="shared" si="41"/>
        <v>0</v>
      </c>
      <c r="N120" s="43"/>
      <c r="R120" s="42">
        <f t="shared" si="44"/>
        <v>350</v>
      </c>
      <c r="S120" s="42">
        <f t="shared" si="44"/>
        <v>0</v>
      </c>
      <c r="T120" s="217"/>
      <c r="U120" s="42">
        <f t="shared" si="45"/>
        <v>250</v>
      </c>
      <c r="V120" s="42">
        <f t="shared" si="45"/>
        <v>0</v>
      </c>
      <c r="W120" s="203"/>
      <c r="X120" s="203"/>
    </row>
    <row r="121" spans="1:24" s="4" customFormat="1" ht="18.75" customHeight="1" x14ac:dyDescent="0.2">
      <c r="A121" s="739" t="s">
        <v>834</v>
      </c>
      <c r="B121" s="331" t="s">
        <v>969</v>
      </c>
      <c r="C121" s="351" t="s">
        <v>608</v>
      </c>
      <c r="D121" s="351" t="s">
        <v>609</v>
      </c>
      <c r="E121" s="378">
        <v>8900482070</v>
      </c>
      <c r="F121" s="378">
        <v>244</v>
      </c>
      <c r="G121" s="43">
        <v>448.3</v>
      </c>
      <c r="H121" s="43"/>
      <c r="I121" s="43">
        <v>430.6</v>
      </c>
      <c r="J121" s="43"/>
      <c r="K121" s="43">
        <f t="shared" si="30"/>
        <v>-17.699999999999989</v>
      </c>
      <c r="L121" s="43">
        <f t="shared" si="31"/>
        <v>0</v>
      </c>
      <c r="M121" s="217">
        <f t="shared" si="41"/>
        <v>0</v>
      </c>
      <c r="N121" s="43"/>
      <c r="R121" s="43">
        <v>350</v>
      </c>
      <c r="S121" s="43"/>
      <c r="T121" s="217"/>
      <c r="U121" s="43">
        <v>250</v>
      </c>
      <c r="V121" s="43">
        <v>0</v>
      </c>
      <c r="W121" s="203"/>
      <c r="X121" s="203"/>
    </row>
    <row r="122" spans="1:24" s="4" customFormat="1" ht="14.25" customHeight="1" x14ac:dyDescent="0.2">
      <c r="A122" s="745" t="s">
        <v>1140</v>
      </c>
      <c r="B122" s="331" t="s">
        <v>969</v>
      </c>
      <c r="C122" s="351" t="s">
        <v>608</v>
      </c>
      <c r="D122" s="351" t="s">
        <v>609</v>
      </c>
      <c r="E122" s="378">
        <v>8900482070</v>
      </c>
      <c r="F122" s="378">
        <v>350</v>
      </c>
      <c r="G122" s="43">
        <v>143.69999999999999</v>
      </c>
      <c r="H122" s="43"/>
      <c r="I122" s="43">
        <v>161.4</v>
      </c>
      <c r="J122" s="43"/>
      <c r="K122" s="43">
        <f t="shared" si="30"/>
        <v>17.700000000000017</v>
      </c>
      <c r="L122" s="43">
        <f t="shared" si="31"/>
        <v>0</v>
      </c>
      <c r="M122" s="217"/>
      <c r="N122" s="43"/>
      <c r="R122" s="43"/>
      <c r="S122" s="43"/>
      <c r="T122" s="217"/>
      <c r="U122" s="43"/>
      <c r="V122" s="43"/>
      <c r="W122" s="203"/>
      <c r="X122" s="203"/>
    </row>
    <row r="123" spans="1:24" s="4" customFormat="1" ht="15.75" hidden="1" customHeight="1" x14ac:dyDescent="0.2">
      <c r="A123" s="121" t="s">
        <v>1284</v>
      </c>
      <c r="B123" s="67" t="s">
        <v>969</v>
      </c>
      <c r="C123" s="347" t="s">
        <v>608</v>
      </c>
      <c r="D123" s="347" t="s">
        <v>609</v>
      </c>
      <c r="E123" s="377">
        <v>8900500000</v>
      </c>
      <c r="F123" s="377"/>
      <c r="G123" s="42">
        <f t="shared" si="43"/>
        <v>0</v>
      </c>
      <c r="H123" s="42">
        <f t="shared" si="43"/>
        <v>0</v>
      </c>
      <c r="I123" s="42">
        <f t="shared" si="43"/>
        <v>0</v>
      </c>
      <c r="J123" s="42">
        <f t="shared" si="43"/>
        <v>0</v>
      </c>
      <c r="K123" s="42">
        <f t="shared" si="30"/>
        <v>0</v>
      </c>
      <c r="L123" s="42">
        <f t="shared" si="31"/>
        <v>0</v>
      </c>
      <c r="M123" s="217">
        <f t="shared" si="41"/>
        <v>0</v>
      </c>
      <c r="N123" s="43"/>
      <c r="R123" s="42">
        <f t="shared" si="44"/>
        <v>0</v>
      </c>
      <c r="S123" s="42">
        <f t="shared" si="44"/>
        <v>0</v>
      </c>
      <c r="T123" s="217"/>
      <c r="U123" s="42">
        <f t="shared" si="45"/>
        <v>0</v>
      </c>
      <c r="V123" s="42">
        <f t="shared" si="45"/>
        <v>0</v>
      </c>
      <c r="W123" s="203"/>
      <c r="X123" s="203"/>
    </row>
    <row r="124" spans="1:24" s="4" customFormat="1" ht="20.25" hidden="1" customHeight="1" x14ac:dyDescent="0.2">
      <c r="A124" s="121" t="s">
        <v>1285</v>
      </c>
      <c r="B124" s="67" t="s">
        <v>969</v>
      </c>
      <c r="C124" s="347" t="s">
        <v>608</v>
      </c>
      <c r="D124" s="347" t="s">
        <v>609</v>
      </c>
      <c r="E124" s="377" t="s">
        <v>1286</v>
      </c>
      <c r="F124" s="377"/>
      <c r="G124" s="42">
        <f t="shared" si="43"/>
        <v>0</v>
      </c>
      <c r="H124" s="42">
        <f t="shared" si="43"/>
        <v>0</v>
      </c>
      <c r="I124" s="42">
        <f t="shared" si="43"/>
        <v>0</v>
      </c>
      <c r="J124" s="42">
        <f t="shared" si="43"/>
        <v>0</v>
      </c>
      <c r="K124" s="42">
        <f t="shared" si="30"/>
        <v>0</v>
      </c>
      <c r="L124" s="42">
        <f t="shared" si="31"/>
        <v>0</v>
      </c>
      <c r="M124" s="217">
        <f t="shared" si="41"/>
        <v>0</v>
      </c>
      <c r="N124" s="43"/>
      <c r="R124" s="42">
        <f t="shared" si="44"/>
        <v>0</v>
      </c>
      <c r="S124" s="42">
        <f t="shared" si="44"/>
        <v>0</v>
      </c>
      <c r="T124" s="217"/>
      <c r="U124" s="42">
        <f t="shared" si="45"/>
        <v>0</v>
      </c>
      <c r="V124" s="42">
        <f t="shared" si="45"/>
        <v>0</v>
      </c>
      <c r="W124" s="203"/>
      <c r="X124" s="203"/>
    </row>
    <row r="125" spans="1:24" s="4" customFormat="1" ht="18.75" hidden="1" customHeight="1" x14ac:dyDescent="0.2">
      <c r="A125" s="124" t="s">
        <v>834</v>
      </c>
      <c r="B125" s="331" t="s">
        <v>969</v>
      </c>
      <c r="C125" s="351" t="s">
        <v>608</v>
      </c>
      <c r="D125" s="351" t="s">
        <v>609</v>
      </c>
      <c r="E125" s="378" t="s">
        <v>1286</v>
      </c>
      <c r="F125" s="378">
        <v>244</v>
      </c>
      <c r="G125" s="43">
        <v>0</v>
      </c>
      <c r="H125" s="43"/>
      <c r="I125" s="43">
        <v>0</v>
      </c>
      <c r="J125" s="43"/>
      <c r="K125" s="43">
        <f t="shared" si="30"/>
        <v>0</v>
      </c>
      <c r="L125" s="43">
        <f t="shared" si="31"/>
        <v>0</v>
      </c>
      <c r="M125" s="217">
        <f t="shared" si="41"/>
        <v>0</v>
      </c>
      <c r="N125" s="43"/>
      <c r="P125" s="443">
        <f>I125-160.016</f>
        <v>-160.01599999999999</v>
      </c>
      <c r="Q125" s="443"/>
      <c r="R125" s="43">
        <v>0</v>
      </c>
      <c r="S125" s="43"/>
      <c r="T125" s="217"/>
      <c r="U125" s="43">
        <v>0</v>
      </c>
      <c r="V125" s="43"/>
      <c r="W125" s="203"/>
      <c r="X125" s="203"/>
    </row>
    <row r="126" spans="1:24" s="4" customFormat="1" ht="15" x14ac:dyDescent="0.2">
      <c r="A126" s="738" t="s">
        <v>65</v>
      </c>
      <c r="B126" s="67" t="s">
        <v>969</v>
      </c>
      <c r="C126" s="347" t="s">
        <v>608</v>
      </c>
      <c r="D126" s="347" t="s">
        <v>609</v>
      </c>
      <c r="E126" s="374" t="s">
        <v>312</v>
      </c>
      <c r="F126" s="374"/>
      <c r="G126" s="42">
        <f>G133+G137+G145+G142+G155+G150+G164+G140+G152+G162+G147+G167+G127+G130+G170</f>
        <v>4014.3509899999995</v>
      </c>
      <c r="H126" s="42">
        <f t="shared" ref="H126:L126" si="46">H133+H137+H145+H142+H155+H150+H164+H140+H152+H162+H147+H167+H127+H130+H170</f>
        <v>0</v>
      </c>
      <c r="I126" s="42">
        <f t="shared" si="46"/>
        <v>4833.6863299999995</v>
      </c>
      <c r="J126" s="42">
        <f t="shared" si="46"/>
        <v>68.740399999999994</v>
      </c>
      <c r="K126" s="42">
        <f t="shared" si="46"/>
        <v>819.33533999999997</v>
      </c>
      <c r="L126" s="42">
        <f t="shared" si="46"/>
        <v>68.740399999999994</v>
      </c>
      <c r="M126" s="217">
        <f t="shared" si="41"/>
        <v>0</v>
      </c>
      <c r="N126" s="43"/>
      <c r="R126" s="42">
        <f>R133+R137+R145+R142+R155+R150+R164+R140+R152+R162+R147</f>
        <v>4035.6931600000003</v>
      </c>
      <c r="S126" s="42">
        <f>S133+S137+S145+S142+S155+S150+S164+S140+S152+S162</f>
        <v>0</v>
      </c>
      <c r="T126" s="217"/>
      <c r="U126" s="42">
        <f>U133+U137+U145+U142+U155+U150+U164+U140+U152+U162</f>
        <v>5704.4589999999998</v>
      </c>
      <c r="V126" s="42">
        <f>V133+V137+V145+V142+V155+V150+V164+V140+V152+V162</f>
        <v>0</v>
      </c>
      <c r="W126" s="203">
        <f t="shared" ref="W126:W244" si="47">G126-I126</f>
        <v>-819.33534000000009</v>
      </c>
      <c r="X126" s="203">
        <f t="shared" ref="X126:X244" si="48">K126+W126</f>
        <v>0</v>
      </c>
    </row>
    <row r="127" spans="1:24" s="4" customFormat="1" ht="15" x14ac:dyDescent="0.2">
      <c r="A127" s="738" t="s">
        <v>2005</v>
      </c>
      <c r="B127" s="67" t="s">
        <v>969</v>
      </c>
      <c r="C127" s="347" t="s">
        <v>608</v>
      </c>
      <c r="D127" s="347" t="s">
        <v>609</v>
      </c>
      <c r="E127" s="374">
        <v>9990023680</v>
      </c>
      <c r="F127" s="374"/>
      <c r="G127" s="42">
        <f>SUM(G128:G129)</f>
        <v>0</v>
      </c>
      <c r="H127" s="42">
        <f>H128</f>
        <v>0</v>
      </c>
      <c r="I127" s="42">
        <f>SUM(I128:I129)</f>
        <v>36.572670000000002</v>
      </c>
      <c r="J127" s="42">
        <f>J128</f>
        <v>0</v>
      </c>
      <c r="K127" s="42">
        <f t="shared" ref="K127:K129" si="49">I127-G127</f>
        <v>36.572670000000002</v>
      </c>
      <c r="L127" s="42">
        <f t="shared" ref="L127:L129" si="50">J127-H127</f>
        <v>0</v>
      </c>
      <c r="M127" s="217"/>
      <c r="N127" s="43"/>
      <c r="R127" s="42"/>
      <c r="S127" s="42"/>
      <c r="T127" s="217"/>
      <c r="U127" s="42"/>
      <c r="V127" s="42"/>
      <c r="W127" s="203"/>
      <c r="X127" s="203"/>
    </row>
    <row r="128" spans="1:24" s="4" customFormat="1" ht="15" x14ac:dyDescent="0.2">
      <c r="A128" s="745" t="s">
        <v>2006</v>
      </c>
      <c r="B128" s="68" t="s">
        <v>969</v>
      </c>
      <c r="C128" s="352" t="s">
        <v>608</v>
      </c>
      <c r="D128" s="352" t="s">
        <v>609</v>
      </c>
      <c r="E128" s="380">
        <v>9990023680</v>
      </c>
      <c r="F128" s="380">
        <v>111</v>
      </c>
      <c r="G128" s="43"/>
      <c r="H128" s="43"/>
      <c r="I128" s="43">
        <v>28.08961</v>
      </c>
      <c r="J128" s="43"/>
      <c r="K128" s="43">
        <f t="shared" si="49"/>
        <v>28.08961</v>
      </c>
      <c r="L128" s="43">
        <f t="shared" si="50"/>
        <v>0</v>
      </c>
      <c r="M128" s="217"/>
      <c r="N128" s="43"/>
      <c r="R128" s="42"/>
      <c r="S128" s="42"/>
      <c r="T128" s="217"/>
      <c r="U128" s="42"/>
      <c r="V128" s="42"/>
      <c r="W128" s="203"/>
      <c r="X128" s="203"/>
    </row>
    <row r="129" spans="1:24" s="4" customFormat="1" ht="25.5" x14ac:dyDescent="0.2">
      <c r="A129" s="739" t="s">
        <v>2007</v>
      </c>
      <c r="B129" s="68" t="s">
        <v>969</v>
      </c>
      <c r="C129" s="352" t="s">
        <v>608</v>
      </c>
      <c r="D129" s="352" t="s">
        <v>609</v>
      </c>
      <c r="E129" s="380">
        <v>9990023680</v>
      </c>
      <c r="F129" s="380">
        <v>119</v>
      </c>
      <c r="G129" s="43"/>
      <c r="H129" s="43"/>
      <c r="I129" s="43">
        <v>8.48306</v>
      </c>
      <c r="J129" s="43"/>
      <c r="K129" s="43">
        <f t="shared" si="49"/>
        <v>8.48306</v>
      </c>
      <c r="L129" s="43">
        <f t="shared" si="50"/>
        <v>0</v>
      </c>
      <c r="M129" s="217"/>
      <c r="N129" s="43"/>
      <c r="R129" s="42"/>
      <c r="S129" s="42"/>
      <c r="T129" s="217"/>
      <c r="U129" s="42"/>
      <c r="V129" s="42"/>
      <c r="W129" s="203"/>
      <c r="X129" s="203"/>
    </row>
    <row r="130" spans="1:24" s="4" customFormat="1" ht="15" x14ac:dyDescent="0.2">
      <c r="A130" s="738" t="s">
        <v>2002</v>
      </c>
      <c r="B130" s="67" t="s">
        <v>969</v>
      </c>
      <c r="C130" s="347" t="s">
        <v>608</v>
      </c>
      <c r="D130" s="347" t="s">
        <v>609</v>
      </c>
      <c r="E130" s="374">
        <v>9990055493</v>
      </c>
      <c r="F130" s="374"/>
      <c r="G130" s="42">
        <f>SUM(G131:G132)</f>
        <v>0</v>
      </c>
      <c r="H130" s="42">
        <f>H131</f>
        <v>0</v>
      </c>
      <c r="I130" s="42">
        <f>SUM(I131:I132)</f>
        <v>89.5</v>
      </c>
      <c r="J130" s="42">
        <f>J131</f>
        <v>68.740399999999994</v>
      </c>
      <c r="K130" s="42">
        <f t="shared" ref="K130:K132" si="51">I130-G130</f>
        <v>89.5</v>
      </c>
      <c r="L130" s="42">
        <f t="shared" ref="L130:L132" si="52">J130-H130</f>
        <v>68.740399999999994</v>
      </c>
      <c r="M130" s="217"/>
      <c r="N130" s="43"/>
      <c r="R130" s="42"/>
      <c r="S130" s="42"/>
      <c r="T130" s="217"/>
      <c r="U130" s="42"/>
      <c r="V130" s="42"/>
      <c r="W130" s="203"/>
      <c r="X130" s="203"/>
    </row>
    <row r="131" spans="1:24" s="4" customFormat="1" ht="15" x14ac:dyDescent="0.2">
      <c r="A131" s="745" t="s">
        <v>1576</v>
      </c>
      <c r="B131" s="68" t="s">
        <v>969</v>
      </c>
      <c r="C131" s="352" t="s">
        <v>608</v>
      </c>
      <c r="D131" s="352" t="s">
        <v>609</v>
      </c>
      <c r="E131" s="380">
        <v>9990055493</v>
      </c>
      <c r="F131" s="380">
        <v>121</v>
      </c>
      <c r="G131" s="43"/>
      <c r="H131" s="43"/>
      <c r="I131" s="43">
        <v>68.740399999999994</v>
      </c>
      <c r="J131" s="43">
        <v>68.740399999999994</v>
      </c>
      <c r="K131" s="43">
        <f t="shared" si="51"/>
        <v>68.740399999999994</v>
      </c>
      <c r="L131" s="43">
        <f t="shared" si="52"/>
        <v>68.740399999999994</v>
      </c>
      <c r="M131" s="217"/>
      <c r="N131" s="43"/>
      <c r="R131" s="42"/>
      <c r="S131" s="42"/>
      <c r="T131" s="217"/>
      <c r="U131" s="42"/>
      <c r="V131" s="42"/>
      <c r="W131" s="203"/>
      <c r="X131" s="203"/>
    </row>
    <row r="132" spans="1:24" s="4" customFormat="1" ht="25.5" x14ac:dyDescent="0.2">
      <c r="A132" s="739" t="s">
        <v>1578</v>
      </c>
      <c r="B132" s="68" t="s">
        <v>969</v>
      </c>
      <c r="C132" s="352" t="s">
        <v>608</v>
      </c>
      <c r="D132" s="352" t="s">
        <v>609</v>
      </c>
      <c r="E132" s="380">
        <v>9990055493</v>
      </c>
      <c r="F132" s="380">
        <v>129</v>
      </c>
      <c r="G132" s="43"/>
      <c r="H132" s="43"/>
      <c r="I132" s="43">
        <v>20.759599999999999</v>
      </c>
      <c r="J132" s="43">
        <v>20.759599999999999</v>
      </c>
      <c r="K132" s="43">
        <f t="shared" si="51"/>
        <v>20.759599999999999</v>
      </c>
      <c r="L132" s="43">
        <f t="shared" si="52"/>
        <v>20.759599999999999</v>
      </c>
      <c r="M132" s="217"/>
      <c r="N132" s="43"/>
      <c r="R132" s="42"/>
      <c r="S132" s="42"/>
      <c r="T132" s="217"/>
      <c r="U132" s="42"/>
      <c r="V132" s="42"/>
      <c r="W132" s="203"/>
      <c r="X132" s="203"/>
    </row>
    <row r="133" spans="1:24" s="4" customFormat="1" ht="15" x14ac:dyDescent="0.2">
      <c r="A133" s="738" t="s">
        <v>1893</v>
      </c>
      <c r="B133" s="67" t="s">
        <v>969</v>
      </c>
      <c r="C133" s="347" t="s">
        <v>608</v>
      </c>
      <c r="D133" s="347" t="s">
        <v>609</v>
      </c>
      <c r="E133" s="374" t="s">
        <v>334</v>
      </c>
      <c r="F133" s="374"/>
      <c r="G133" s="42">
        <f>G134+G135+G136</f>
        <v>406</v>
      </c>
      <c r="H133" s="42">
        <f>H134+H135+H136</f>
        <v>0</v>
      </c>
      <c r="I133" s="42">
        <f>I134+I135+I136</f>
        <v>66</v>
      </c>
      <c r="J133" s="42">
        <f>J134+J135+J136</f>
        <v>0</v>
      </c>
      <c r="K133" s="42">
        <f t="shared" si="30"/>
        <v>-340</v>
      </c>
      <c r="L133" s="42">
        <f t="shared" si="31"/>
        <v>0</v>
      </c>
      <c r="M133" s="217">
        <f t="shared" si="41"/>
        <v>0</v>
      </c>
      <c r="N133" s="43"/>
      <c r="R133" s="42">
        <f>R134+R135+R136</f>
        <v>406</v>
      </c>
      <c r="S133" s="42">
        <f>S134+S135+S136</f>
        <v>0</v>
      </c>
      <c r="T133" s="217"/>
      <c r="U133" s="42">
        <f>U134+U135+U136</f>
        <v>0</v>
      </c>
      <c r="V133" s="42">
        <f>V134+V135+V136</f>
        <v>0</v>
      </c>
      <c r="W133" s="203">
        <f t="shared" si="47"/>
        <v>340</v>
      </c>
      <c r="X133" s="203">
        <f t="shared" si="48"/>
        <v>0</v>
      </c>
    </row>
    <row r="134" spans="1:24" s="4" customFormat="1" ht="12.75" hidden="1" customHeight="1" x14ac:dyDescent="0.2">
      <c r="A134" s="124" t="s">
        <v>834</v>
      </c>
      <c r="B134" s="68" t="s">
        <v>969</v>
      </c>
      <c r="C134" s="352" t="s">
        <v>608</v>
      </c>
      <c r="D134" s="352" t="s">
        <v>609</v>
      </c>
      <c r="E134" s="380" t="s">
        <v>334</v>
      </c>
      <c r="F134" s="380" t="s">
        <v>634</v>
      </c>
      <c r="G134" s="43"/>
      <c r="H134" s="43"/>
      <c r="I134" s="43"/>
      <c r="J134" s="43"/>
      <c r="K134" s="43">
        <f t="shared" si="30"/>
        <v>0</v>
      </c>
      <c r="L134" s="43">
        <f t="shared" si="31"/>
        <v>0</v>
      </c>
      <c r="M134" s="217">
        <f t="shared" si="41"/>
        <v>0</v>
      </c>
      <c r="N134" s="43"/>
      <c r="R134" s="43"/>
      <c r="S134" s="43"/>
      <c r="T134" s="217"/>
      <c r="U134" s="43"/>
      <c r="V134" s="43"/>
      <c r="W134" s="203">
        <f t="shared" si="47"/>
        <v>0</v>
      </c>
      <c r="X134" s="203">
        <f t="shared" si="48"/>
        <v>0</v>
      </c>
    </row>
    <row r="135" spans="1:24" s="4" customFormat="1" ht="25.5" x14ac:dyDescent="0.2">
      <c r="A135" s="745" t="s">
        <v>836</v>
      </c>
      <c r="B135" s="68" t="s">
        <v>969</v>
      </c>
      <c r="C135" s="352" t="s">
        <v>608</v>
      </c>
      <c r="D135" s="352" t="s">
        <v>609</v>
      </c>
      <c r="E135" s="380" t="s">
        <v>334</v>
      </c>
      <c r="F135" s="242">
        <v>811</v>
      </c>
      <c r="G135" s="43">
        <v>406</v>
      </c>
      <c r="H135" s="43"/>
      <c r="I135" s="43">
        <v>66</v>
      </c>
      <c r="J135" s="43"/>
      <c r="K135" s="43">
        <f t="shared" si="30"/>
        <v>-340</v>
      </c>
      <c r="L135" s="43">
        <f t="shared" si="31"/>
        <v>0</v>
      </c>
      <c r="M135" s="217">
        <f t="shared" si="41"/>
        <v>0</v>
      </c>
      <c r="N135" s="43"/>
      <c r="R135" s="43">
        <v>406</v>
      </c>
      <c r="S135" s="43"/>
      <c r="T135" s="217"/>
      <c r="U135" s="43"/>
      <c r="V135" s="43"/>
      <c r="W135" s="203">
        <f t="shared" si="47"/>
        <v>340</v>
      </c>
      <c r="X135" s="203">
        <f t="shared" si="48"/>
        <v>0</v>
      </c>
    </row>
    <row r="136" spans="1:24" s="4" customFormat="1" ht="27.75" hidden="1" customHeight="1" x14ac:dyDescent="0.2">
      <c r="A136" s="120" t="s">
        <v>1035</v>
      </c>
      <c r="B136" s="68" t="s">
        <v>969</v>
      </c>
      <c r="C136" s="352" t="s">
        <v>608</v>
      </c>
      <c r="D136" s="352" t="s">
        <v>609</v>
      </c>
      <c r="E136" s="380" t="s">
        <v>334</v>
      </c>
      <c r="F136" s="242">
        <v>814</v>
      </c>
      <c r="G136" s="43"/>
      <c r="H136" s="43"/>
      <c r="I136" s="43"/>
      <c r="J136" s="43"/>
      <c r="K136" s="43">
        <f t="shared" si="30"/>
        <v>0</v>
      </c>
      <c r="L136" s="43">
        <f t="shared" si="31"/>
        <v>0</v>
      </c>
      <c r="M136" s="217">
        <f t="shared" si="41"/>
        <v>0</v>
      </c>
      <c r="N136" s="43"/>
      <c r="R136" s="43"/>
      <c r="S136" s="43"/>
      <c r="T136" s="217"/>
      <c r="U136" s="43"/>
      <c r="V136" s="43"/>
      <c r="W136" s="203">
        <f t="shared" si="47"/>
        <v>0</v>
      </c>
      <c r="X136" s="203">
        <f t="shared" si="48"/>
        <v>0</v>
      </c>
    </row>
    <row r="137" spans="1:24" s="4" customFormat="1" ht="27.75" customHeight="1" x14ac:dyDescent="0.2">
      <c r="A137" s="738" t="s">
        <v>1894</v>
      </c>
      <c r="B137" s="67" t="s">
        <v>969</v>
      </c>
      <c r="C137" s="347" t="s">
        <v>608</v>
      </c>
      <c r="D137" s="347" t="s">
        <v>609</v>
      </c>
      <c r="E137" s="374">
        <v>9990073080</v>
      </c>
      <c r="F137" s="374"/>
      <c r="G137" s="42">
        <f>SUM(G138:G139)</f>
        <v>1.8</v>
      </c>
      <c r="H137" s="42">
        <f>H138</f>
        <v>0</v>
      </c>
      <c r="I137" s="42">
        <f>SUM(I138:I139)</f>
        <v>1.8</v>
      </c>
      <c r="J137" s="42">
        <f>J138</f>
        <v>0</v>
      </c>
      <c r="K137" s="42">
        <f t="shared" si="30"/>
        <v>0</v>
      </c>
      <c r="L137" s="42">
        <f t="shared" si="31"/>
        <v>0</v>
      </c>
      <c r="M137" s="217">
        <f t="shared" si="41"/>
        <v>0</v>
      </c>
      <c r="N137" s="43"/>
      <c r="R137" s="42">
        <f>SUM(R138:R139)</f>
        <v>1.8</v>
      </c>
      <c r="S137" s="42">
        <f>S138</f>
        <v>0</v>
      </c>
      <c r="T137" s="217"/>
      <c r="U137" s="42">
        <f>SUM(U138:U139)</f>
        <v>0</v>
      </c>
      <c r="V137" s="42">
        <f>V138</f>
        <v>0</v>
      </c>
      <c r="W137" s="203">
        <f t="shared" si="47"/>
        <v>0</v>
      </c>
      <c r="X137" s="203">
        <f t="shared" si="48"/>
        <v>0</v>
      </c>
    </row>
    <row r="138" spans="1:24" s="4" customFormat="1" ht="15" x14ac:dyDescent="0.2">
      <c r="A138" s="745" t="s">
        <v>529</v>
      </c>
      <c r="B138" s="68" t="s">
        <v>969</v>
      </c>
      <c r="C138" s="352" t="s">
        <v>608</v>
      </c>
      <c r="D138" s="352" t="s">
        <v>609</v>
      </c>
      <c r="E138" s="380" t="s">
        <v>335</v>
      </c>
      <c r="F138" s="380" t="s">
        <v>129</v>
      </c>
      <c r="G138" s="43">
        <v>1.38249</v>
      </c>
      <c r="H138" s="43"/>
      <c r="I138" s="43">
        <v>1.38249</v>
      </c>
      <c r="J138" s="43"/>
      <c r="K138" s="43">
        <f t="shared" si="30"/>
        <v>0</v>
      </c>
      <c r="L138" s="43">
        <f t="shared" si="31"/>
        <v>0</v>
      </c>
      <c r="M138" s="217">
        <f t="shared" si="41"/>
        <v>0</v>
      </c>
      <c r="N138" s="43"/>
      <c r="R138" s="43">
        <v>1.38249</v>
      </c>
      <c r="S138" s="43"/>
      <c r="T138" s="217"/>
      <c r="U138" s="43"/>
      <c r="V138" s="43"/>
      <c r="W138" s="203">
        <f t="shared" si="47"/>
        <v>0</v>
      </c>
      <c r="X138" s="203">
        <f t="shared" si="48"/>
        <v>0</v>
      </c>
    </row>
    <row r="139" spans="1:24" s="4" customFormat="1" ht="25.5" x14ac:dyDescent="0.2">
      <c r="A139" s="739" t="s">
        <v>572</v>
      </c>
      <c r="B139" s="68" t="s">
        <v>969</v>
      </c>
      <c r="C139" s="352" t="s">
        <v>608</v>
      </c>
      <c r="D139" s="352" t="s">
        <v>609</v>
      </c>
      <c r="E139" s="380" t="s">
        <v>335</v>
      </c>
      <c r="F139" s="380" t="s">
        <v>524</v>
      </c>
      <c r="G139" s="43">
        <v>0.41750999999999999</v>
      </c>
      <c r="H139" s="43"/>
      <c r="I139" s="43">
        <v>0.41750999999999999</v>
      </c>
      <c r="J139" s="43"/>
      <c r="K139" s="43">
        <f t="shared" si="30"/>
        <v>0</v>
      </c>
      <c r="L139" s="43">
        <f t="shared" si="31"/>
        <v>0</v>
      </c>
      <c r="M139" s="217">
        <f t="shared" si="41"/>
        <v>0</v>
      </c>
      <c r="N139" s="43"/>
      <c r="R139" s="43">
        <v>0.41750999999999999</v>
      </c>
      <c r="S139" s="43"/>
      <c r="T139" s="217"/>
      <c r="U139" s="43"/>
      <c r="V139" s="43"/>
      <c r="W139" s="203">
        <f t="shared" si="47"/>
        <v>0</v>
      </c>
      <c r="X139" s="203">
        <f t="shared" si="48"/>
        <v>0</v>
      </c>
    </row>
    <row r="140" spans="1:24" s="4" customFormat="1" ht="25.5" x14ac:dyDescent="0.2">
      <c r="A140" s="741" t="s">
        <v>1895</v>
      </c>
      <c r="B140" s="67" t="s">
        <v>969</v>
      </c>
      <c r="C140" s="347" t="s">
        <v>608</v>
      </c>
      <c r="D140" s="347" t="s">
        <v>609</v>
      </c>
      <c r="E140" s="374">
        <v>9990073170</v>
      </c>
      <c r="F140" s="374"/>
      <c r="G140" s="42">
        <f>G141</f>
        <v>148.19999999999999</v>
      </c>
      <c r="H140" s="42">
        <f>H141</f>
        <v>0</v>
      </c>
      <c r="I140" s="42">
        <f>I141</f>
        <v>148.19999999999999</v>
      </c>
      <c r="J140" s="42">
        <f>J141</f>
        <v>0</v>
      </c>
      <c r="K140" s="42">
        <f t="shared" si="30"/>
        <v>0</v>
      </c>
      <c r="L140" s="42">
        <f t="shared" si="31"/>
        <v>0</v>
      </c>
      <c r="M140" s="217">
        <f t="shared" si="41"/>
        <v>0</v>
      </c>
      <c r="N140" s="43"/>
      <c r="R140" s="42">
        <f>R141</f>
        <v>145.09899999999999</v>
      </c>
      <c r="S140" s="42">
        <f>S141</f>
        <v>0</v>
      </c>
      <c r="T140" s="217"/>
      <c r="U140" s="42">
        <f>U141</f>
        <v>0</v>
      </c>
      <c r="V140" s="42">
        <f>V141</f>
        <v>0</v>
      </c>
      <c r="W140" s="203"/>
      <c r="X140" s="203"/>
    </row>
    <row r="141" spans="1:24" s="4" customFormat="1" ht="15" x14ac:dyDescent="0.2">
      <c r="A141" s="739" t="s">
        <v>834</v>
      </c>
      <c r="B141" s="68" t="s">
        <v>969</v>
      </c>
      <c r="C141" s="352" t="s">
        <v>608</v>
      </c>
      <c r="D141" s="352" t="s">
        <v>609</v>
      </c>
      <c r="E141" s="380">
        <v>9990073170</v>
      </c>
      <c r="F141" s="380">
        <v>244</v>
      </c>
      <c r="G141" s="43">
        <v>148.19999999999999</v>
      </c>
      <c r="H141" s="43"/>
      <c r="I141" s="43">
        <v>148.19999999999999</v>
      </c>
      <c r="J141" s="43"/>
      <c r="K141" s="43">
        <f t="shared" si="30"/>
        <v>0</v>
      </c>
      <c r="L141" s="43">
        <f t="shared" si="31"/>
        <v>0</v>
      </c>
      <c r="M141" s="217">
        <f t="shared" si="41"/>
        <v>0</v>
      </c>
      <c r="N141" s="43"/>
      <c r="R141" s="43">
        <v>145.09899999999999</v>
      </c>
      <c r="S141" s="43">
        <v>0</v>
      </c>
      <c r="T141" s="217"/>
      <c r="U141" s="43">
        <v>0</v>
      </c>
      <c r="V141" s="43">
        <v>0</v>
      </c>
      <c r="W141" s="203"/>
      <c r="X141" s="203"/>
    </row>
    <row r="142" spans="1:24" s="4" customFormat="1" ht="27" customHeight="1" x14ac:dyDescent="0.2">
      <c r="A142" s="738" t="s">
        <v>1695</v>
      </c>
      <c r="B142" s="67" t="s">
        <v>969</v>
      </c>
      <c r="C142" s="347" t="s">
        <v>608</v>
      </c>
      <c r="D142" s="347" t="s">
        <v>609</v>
      </c>
      <c r="E142" s="374">
        <v>9990073200</v>
      </c>
      <c r="F142" s="374"/>
      <c r="G142" s="42">
        <f>SUM(G143:G144)</f>
        <v>13.3</v>
      </c>
      <c r="H142" s="42">
        <f>H143</f>
        <v>0</v>
      </c>
      <c r="I142" s="42">
        <f>SUM(I143:I144)</f>
        <v>13.05532</v>
      </c>
      <c r="J142" s="42">
        <f>J143</f>
        <v>0</v>
      </c>
      <c r="K142" s="42">
        <f t="shared" si="30"/>
        <v>-0.24468000000000067</v>
      </c>
      <c r="L142" s="42">
        <f t="shared" si="31"/>
        <v>0</v>
      </c>
      <c r="M142" s="217">
        <f t="shared" si="41"/>
        <v>0</v>
      </c>
      <c r="N142" s="43"/>
      <c r="R142" s="42">
        <f>SUM(R143:R144)</f>
        <v>14.2</v>
      </c>
      <c r="S142" s="42">
        <f>S143</f>
        <v>0</v>
      </c>
      <c r="T142" s="217"/>
      <c r="U142" s="42">
        <f>SUM(U143:U144)</f>
        <v>9.5</v>
      </c>
      <c r="V142" s="42">
        <f>V143</f>
        <v>0</v>
      </c>
      <c r="W142" s="203">
        <f t="shared" si="47"/>
        <v>0.24468000000000067</v>
      </c>
      <c r="X142" s="203">
        <f t="shared" si="48"/>
        <v>0</v>
      </c>
    </row>
    <row r="143" spans="1:24" s="4" customFormat="1" ht="15" x14ac:dyDescent="0.2">
      <c r="A143" s="745" t="s">
        <v>523</v>
      </c>
      <c r="B143" s="68" t="s">
        <v>969</v>
      </c>
      <c r="C143" s="352" t="s">
        <v>608</v>
      </c>
      <c r="D143" s="352" t="s">
        <v>609</v>
      </c>
      <c r="E143" s="380" t="s">
        <v>336</v>
      </c>
      <c r="F143" s="380" t="s">
        <v>129</v>
      </c>
      <c r="G143" s="43">
        <v>10.21505</v>
      </c>
      <c r="H143" s="43"/>
      <c r="I143" s="43">
        <v>10.02712</v>
      </c>
      <c r="J143" s="43"/>
      <c r="K143" s="43">
        <f t="shared" si="30"/>
        <v>-0.18792999999999971</v>
      </c>
      <c r="L143" s="43">
        <f t="shared" si="31"/>
        <v>0</v>
      </c>
      <c r="M143" s="217">
        <f t="shared" si="41"/>
        <v>0</v>
      </c>
      <c r="N143" s="43"/>
      <c r="R143" s="43">
        <v>10.9063</v>
      </c>
      <c r="S143" s="43"/>
      <c r="T143" s="217"/>
      <c r="U143" s="43">
        <v>7.2964700000000002</v>
      </c>
      <c r="V143" s="43">
        <v>0</v>
      </c>
      <c r="W143" s="203">
        <f t="shared" si="47"/>
        <v>0.18792999999999971</v>
      </c>
      <c r="X143" s="203">
        <f t="shared" si="48"/>
        <v>0</v>
      </c>
    </row>
    <row r="144" spans="1:24" s="4" customFormat="1" ht="25.5" x14ac:dyDescent="0.2">
      <c r="A144" s="739" t="s">
        <v>572</v>
      </c>
      <c r="B144" s="68" t="s">
        <v>969</v>
      </c>
      <c r="C144" s="352" t="s">
        <v>608</v>
      </c>
      <c r="D144" s="352" t="s">
        <v>609</v>
      </c>
      <c r="E144" s="380" t="s">
        <v>336</v>
      </c>
      <c r="F144" s="380" t="s">
        <v>524</v>
      </c>
      <c r="G144" s="43">
        <v>3.0849500000000001</v>
      </c>
      <c r="H144" s="43"/>
      <c r="I144" s="43">
        <v>3.0282</v>
      </c>
      <c r="J144" s="43"/>
      <c r="K144" s="43">
        <f t="shared" si="30"/>
        <v>-5.6750000000000078E-2</v>
      </c>
      <c r="L144" s="43">
        <f t="shared" si="31"/>
        <v>0</v>
      </c>
      <c r="M144" s="217">
        <f t="shared" si="41"/>
        <v>0</v>
      </c>
      <c r="N144" s="43"/>
      <c r="R144" s="43">
        <v>3.2936999999999999</v>
      </c>
      <c r="S144" s="43"/>
      <c r="T144" s="217"/>
      <c r="U144" s="43">
        <v>2.2035300000000002</v>
      </c>
      <c r="V144" s="43">
        <v>0</v>
      </c>
      <c r="W144" s="203">
        <f t="shared" si="47"/>
        <v>5.6750000000000078E-2</v>
      </c>
      <c r="X144" s="203">
        <f t="shared" si="48"/>
        <v>0</v>
      </c>
    </row>
    <row r="145" spans="1:24" s="4" customFormat="1" ht="29.25" customHeight="1" x14ac:dyDescent="0.2">
      <c r="A145" s="738" t="s">
        <v>1694</v>
      </c>
      <c r="B145" s="67" t="s">
        <v>969</v>
      </c>
      <c r="C145" s="347" t="s">
        <v>608</v>
      </c>
      <c r="D145" s="347" t="s">
        <v>609</v>
      </c>
      <c r="E145" s="374" t="s">
        <v>545</v>
      </c>
      <c r="F145" s="374"/>
      <c r="G145" s="42">
        <f>G146</f>
        <v>884.3</v>
      </c>
      <c r="H145" s="42">
        <f>H146</f>
        <v>0</v>
      </c>
      <c r="I145" s="42">
        <f>I146</f>
        <v>867.90197999999998</v>
      </c>
      <c r="J145" s="42">
        <f>J146</f>
        <v>0</v>
      </c>
      <c r="K145" s="42">
        <f t="shared" si="30"/>
        <v>-16.398019999999974</v>
      </c>
      <c r="L145" s="42">
        <f t="shared" si="31"/>
        <v>0</v>
      </c>
      <c r="M145" s="217">
        <f t="shared" si="41"/>
        <v>0</v>
      </c>
      <c r="N145" s="43"/>
      <c r="R145" s="42">
        <f>R146</f>
        <v>945.2</v>
      </c>
      <c r="S145" s="42">
        <f>S146</f>
        <v>0</v>
      </c>
      <c r="T145" s="217"/>
      <c r="U145" s="42">
        <f>U146</f>
        <v>636</v>
      </c>
      <c r="V145" s="42">
        <f>V146</f>
        <v>0</v>
      </c>
      <c r="W145" s="203">
        <f t="shared" si="47"/>
        <v>16.398019999999974</v>
      </c>
      <c r="X145" s="203">
        <f t="shared" si="48"/>
        <v>0</v>
      </c>
    </row>
    <row r="146" spans="1:24" s="4" customFormat="1" ht="15" x14ac:dyDescent="0.2">
      <c r="A146" s="739" t="s">
        <v>834</v>
      </c>
      <c r="B146" s="68" t="s">
        <v>969</v>
      </c>
      <c r="C146" s="352" t="s">
        <v>608</v>
      </c>
      <c r="D146" s="352" t="s">
        <v>609</v>
      </c>
      <c r="E146" s="380" t="s">
        <v>545</v>
      </c>
      <c r="F146" s="380" t="s">
        <v>634</v>
      </c>
      <c r="G146" s="43">
        <v>884.3</v>
      </c>
      <c r="H146" s="43"/>
      <c r="I146" s="43">
        <v>867.90197999999998</v>
      </c>
      <c r="J146" s="43"/>
      <c r="K146" s="43">
        <f t="shared" si="30"/>
        <v>-16.398019999999974</v>
      </c>
      <c r="L146" s="43">
        <f t="shared" si="31"/>
        <v>0</v>
      </c>
      <c r="M146" s="217">
        <f t="shared" si="41"/>
        <v>0</v>
      </c>
      <c r="N146" s="43"/>
      <c r="R146" s="43">
        <v>945.2</v>
      </c>
      <c r="S146" s="43"/>
      <c r="T146" s="217"/>
      <c r="U146" s="43">
        <v>636</v>
      </c>
      <c r="V146" s="43">
        <v>0</v>
      </c>
      <c r="W146" s="203">
        <f t="shared" si="47"/>
        <v>16.398019999999974</v>
      </c>
      <c r="X146" s="203">
        <f t="shared" si="48"/>
        <v>0</v>
      </c>
    </row>
    <row r="147" spans="1:24" s="4" customFormat="1" ht="25.5" x14ac:dyDescent="0.2">
      <c r="A147" s="738" t="s">
        <v>1896</v>
      </c>
      <c r="B147" s="67" t="s">
        <v>969</v>
      </c>
      <c r="C147" s="347" t="s">
        <v>608</v>
      </c>
      <c r="D147" s="347" t="s">
        <v>609</v>
      </c>
      <c r="E147" s="374">
        <v>9990073240</v>
      </c>
      <c r="F147" s="374"/>
      <c r="G147" s="42">
        <f>G148+G149</f>
        <v>22.2</v>
      </c>
      <c r="H147" s="42">
        <f>H148</f>
        <v>0</v>
      </c>
      <c r="I147" s="42">
        <f>I148+I149</f>
        <v>22.2</v>
      </c>
      <c r="J147" s="42">
        <f>J148</f>
        <v>0</v>
      </c>
      <c r="K147" s="43">
        <f t="shared" si="30"/>
        <v>0</v>
      </c>
      <c r="L147" s="43">
        <f t="shared" si="31"/>
        <v>0</v>
      </c>
      <c r="M147" s="217"/>
      <c r="N147" s="43"/>
      <c r="R147" s="42">
        <f>R148+R149</f>
        <v>21.765000000000001</v>
      </c>
      <c r="S147" s="42">
        <f>S148</f>
        <v>0</v>
      </c>
      <c r="T147" s="217"/>
      <c r="U147" s="43"/>
      <c r="V147" s="43"/>
      <c r="W147" s="203"/>
      <c r="X147" s="203"/>
    </row>
    <row r="148" spans="1:24" s="4" customFormat="1" ht="15" x14ac:dyDescent="0.2">
      <c r="A148" s="739" t="s">
        <v>523</v>
      </c>
      <c r="B148" s="68" t="s">
        <v>969</v>
      </c>
      <c r="C148" s="352" t="s">
        <v>608</v>
      </c>
      <c r="D148" s="352" t="s">
        <v>609</v>
      </c>
      <c r="E148" s="380">
        <v>9990073240</v>
      </c>
      <c r="F148" s="375" t="s">
        <v>129</v>
      </c>
      <c r="G148" s="43">
        <v>17.050689999999999</v>
      </c>
      <c r="H148" s="43"/>
      <c r="I148" s="43">
        <v>17.050689999999999</v>
      </c>
      <c r="J148" s="43"/>
      <c r="K148" s="43">
        <f t="shared" si="30"/>
        <v>0</v>
      </c>
      <c r="L148" s="43">
        <f t="shared" si="31"/>
        <v>0</v>
      </c>
      <c r="M148" s="217"/>
      <c r="N148" s="43"/>
      <c r="R148" s="43">
        <v>16.7166</v>
      </c>
      <c r="S148" s="43"/>
      <c r="T148" s="217"/>
      <c r="U148" s="43"/>
      <c r="V148" s="43"/>
      <c r="W148" s="203"/>
      <c r="X148" s="203"/>
    </row>
    <row r="149" spans="1:24" s="4" customFormat="1" ht="25.5" x14ac:dyDescent="0.2">
      <c r="A149" s="739" t="s">
        <v>572</v>
      </c>
      <c r="B149" s="68" t="s">
        <v>969</v>
      </c>
      <c r="C149" s="352" t="s">
        <v>608</v>
      </c>
      <c r="D149" s="352" t="s">
        <v>609</v>
      </c>
      <c r="E149" s="380">
        <v>9990073240</v>
      </c>
      <c r="F149" s="380">
        <v>129</v>
      </c>
      <c r="G149" s="43">
        <v>5.1493099999999998</v>
      </c>
      <c r="H149" s="43"/>
      <c r="I149" s="43">
        <v>5.1493099999999998</v>
      </c>
      <c r="J149" s="43"/>
      <c r="K149" s="43">
        <f t="shared" si="30"/>
        <v>0</v>
      </c>
      <c r="L149" s="43">
        <f t="shared" si="31"/>
        <v>0</v>
      </c>
      <c r="M149" s="217"/>
      <c r="N149" s="43"/>
      <c r="R149" s="43">
        <v>5.0484</v>
      </c>
      <c r="S149" s="43"/>
      <c r="T149" s="217"/>
      <c r="U149" s="43"/>
      <c r="V149" s="43"/>
      <c r="W149" s="203"/>
      <c r="X149" s="203"/>
    </row>
    <row r="150" spans="1:24" s="4" customFormat="1" ht="17.25" customHeight="1" x14ac:dyDescent="0.2">
      <c r="A150" s="738" t="s">
        <v>976</v>
      </c>
      <c r="B150" s="67" t="s">
        <v>969</v>
      </c>
      <c r="C150" s="347" t="s">
        <v>608</v>
      </c>
      <c r="D150" s="347" t="s">
        <v>609</v>
      </c>
      <c r="E150" s="374">
        <v>9990082090</v>
      </c>
      <c r="F150" s="374"/>
      <c r="G150" s="42">
        <f>G151</f>
        <v>56</v>
      </c>
      <c r="H150" s="42">
        <f>H151</f>
        <v>0</v>
      </c>
      <c r="I150" s="42">
        <f>I151</f>
        <v>68.063999999999993</v>
      </c>
      <c r="J150" s="42">
        <f>J151</f>
        <v>0</v>
      </c>
      <c r="K150" s="42">
        <f t="shared" si="30"/>
        <v>12.063999999999993</v>
      </c>
      <c r="L150" s="42">
        <f t="shared" si="31"/>
        <v>0</v>
      </c>
      <c r="M150" s="217">
        <f t="shared" si="41"/>
        <v>0</v>
      </c>
      <c r="N150" s="43"/>
      <c r="R150" s="42">
        <f>R151</f>
        <v>0</v>
      </c>
      <c r="S150" s="42">
        <f>S151</f>
        <v>0</v>
      </c>
      <c r="T150" s="217"/>
      <c r="U150" s="42">
        <f>U151</f>
        <v>0</v>
      </c>
      <c r="V150" s="42">
        <f>V151</f>
        <v>0</v>
      </c>
      <c r="W150" s="203">
        <f t="shared" si="47"/>
        <v>-12.063999999999993</v>
      </c>
      <c r="X150" s="203">
        <f t="shared" si="48"/>
        <v>0</v>
      </c>
    </row>
    <row r="151" spans="1:24" s="4" customFormat="1" ht="12.75" customHeight="1" x14ac:dyDescent="0.2">
      <c r="A151" s="739" t="s">
        <v>233</v>
      </c>
      <c r="B151" s="68" t="s">
        <v>969</v>
      </c>
      <c r="C151" s="352" t="s">
        <v>608</v>
      </c>
      <c r="D151" s="352" t="s">
        <v>609</v>
      </c>
      <c r="E151" s="380">
        <v>9990082090</v>
      </c>
      <c r="F151" s="380">
        <v>242</v>
      </c>
      <c r="G151" s="43">
        <v>56</v>
      </c>
      <c r="H151" s="43"/>
      <c r="I151" s="43">
        <v>68.063999999999993</v>
      </c>
      <c r="J151" s="43"/>
      <c r="K151" s="43">
        <f t="shared" si="30"/>
        <v>12.063999999999993</v>
      </c>
      <c r="L151" s="43">
        <f t="shared" si="31"/>
        <v>0</v>
      </c>
      <c r="M151" s="217">
        <f t="shared" si="41"/>
        <v>0</v>
      </c>
      <c r="N151" s="43"/>
      <c r="R151" s="43"/>
      <c r="S151" s="43"/>
      <c r="T151" s="217"/>
      <c r="U151" s="43"/>
      <c r="V151" s="43"/>
      <c r="W151" s="203">
        <f t="shared" si="47"/>
        <v>-12.063999999999993</v>
      </c>
      <c r="X151" s="203">
        <f t="shared" si="48"/>
        <v>0</v>
      </c>
    </row>
    <row r="152" spans="1:24" s="4" customFormat="1" ht="39" hidden="1" customHeight="1" x14ac:dyDescent="0.2">
      <c r="A152" s="118" t="s">
        <v>1259</v>
      </c>
      <c r="B152" s="67" t="s">
        <v>969</v>
      </c>
      <c r="C152" s="347" t="s">
        <v>608</v>
      </c>
      <c r="D152" s="347" t="s">
        <v>609</v>
      </c>
      <c r="E152" s="374">
        <v>9990073240</v>
      </c>
      <c r="F152" s="374"/>
      <c r="G152" s="42">
        <f>G153+G154</f>
        <v>0</v>
      </c>
      <c r="H152" s="42">
        <f>H153</f>
        <v>0</v>
      </c>
      <c r="I152" s="42">
        <f>I153+I154</f>
        <v>0</v>
      </c>
      <c r="J152" s="42">
        <f>J153</f>
        <v>0</v>
      </c>
      <c r="K152" s="43">
        <f t="shared" si="30"/>
        <v>0</v>
      </c>
      <c r="L152" s="43">
        <f t="shared" si="31"/>
        <v>0</v>
      </c>
      <c r="M152" s="217">
        <f t="shared" si="41"/>
        <v>0</v>
      </c>
      <c r="N152" s="43"/>
      <c r="R152" s="42">
        <f>R153+R154</f>
        <v>0</v>
      </c>
      <c r="S152" s="42">
        <f>S153</f>
        <v>0</v>
      </c>
      <c r="T152" s="217"/>
      <c r="U152" s="42">
        <f>U153+U154</f>
        <v>0</v>
      </c>
      <c r="V152" s="42">
        <f>V153</f>
        <v>0</v>
      </c>
      <c r="W152" s="203"/>
      <c r="X152" s="203"/>
    </row>
    <row r="153" spans="1:24" s="4" customFormat="1" ht="12.75" hidden="1" customHeight="1" x14ac:dyDescent="0.2">
      <c r="A153" s="124" t="s">
        <v>523</v>
      </c>
      <c r="B153" s="68" t="s">
        <v>969</v>
      </c>
      <c r="C153" s="352" t="s">
        <v>608</v>
      </c>
      <c r="D153" s="352" t="s">
        <v>609</v>
      </c>
      <c r="E153" s="380">
        <v>9990073240</v>
      </c>
      <c r="F153" s="375" t="s">
        <v>129</v>
      </c>
      <c r="G153" s="43">
        <v>0</v>
      </c>
      <c r="H153" s="43">
        <v>0</v>
      </c>
      <c r="I153" s="43">
        <v>0</v>
      </c>
      <c r="J153" s="43">
        <v>0</v>
      </c>
      <c r="K153" s="43">
        <f t="shared" si="30"/>
        <v>0</v>
      </c>
      <c r="L153" s="43">
        <f t="shared" si="31"/>
        <v>0</v>
      </c>
      <c r="M153" s="217">
        <f t="shared" si="41"/>
        <v>0</v>
      </c>
      <c r="N153" s="43"/>
      <c r="R153" s="43">
        <v>0</v>
      </c>
      <c r="S153" s="43">
        <v>0</v>
      </c>
      <c r="T153" s="217"/>
      <c r="U153" s="43">
        <v>0</v>
      </c>
      <c r="V153" s="43">
        <v>0</v>
      </c>
      <c r="W153" s="203"/>
      <c r="X153" s="203"/>
    </row>
    <row r="154" spans="1:24" s="4" customFormat="1" ht="25.5" hidden="1" customHeight="1" x14ac:dyDescent="0.2">
      <c r="A154" s="124" t="s">
        <v>572</v>
      </c>
      <c r="B154" s="68" t="s">
        <v>969</v>
      </c>
      <c r="C154" s="352" t="s">
        <v>608</v>
      </c>
      <c r="D154" s="352" t="s">
        <v>609</v>
      </c>
      <c r="E154" s="380">
        <v>9990073240</v>
      </c>
      <c r="F154" s="380">
        <v>129</v>
      </c>
      <c r="G154" s="43">
        <v>0</v>
      </c>
      <c r="H154" s="43">
        <v>0</v>
      </c>
      <c r="I154" s="43">
        <v>0</v>
      </c>
      <c r="J154" s="43">
        <v>0</v>
      </c>
      <c r="K154" s="43">
        <f t="shared" ref="K154:K222" si="53">I154-G154</f>
        <v>0</v>
      </c>
      <c r="L154" s="43">
        <f t="shared" ref="L154:L222" si="54">J154-H154</f>
        <v>0</v>
      </c>
      <c r="M154" s="217">
        <f t="shared" si="41"/>
        <v>0</v>
      </c>
      <c r="N154" s="43"/>
      <c r="R154" s="43">
        <v>0</v>
      </c>
      <c r="S154" s="43">
        <v>0</v>
      </c>
      <c r="T154" s="217"/>
      <c r="U154" s="43">
        <v>0</v>
      </c>
      <c r="V154" s="43">
        <v>0</v>
      </c>
      <c r="W154" s="203"/>
      <c r="X154" s="203"/>
    </row>
    <row r="155" spans="1:24" s="4" customFormat="1" ht="15" x14ac:dyDescent="0.2">
      <c r="A155" s="740" t="s">
        <v>643</v>
      </c>
      <c r="B155" s="67" t="s">
        <v>969</v>
      </c>
      <c r="C155" s="347" t="s">
        <v>608</v>
      </c>
      <c r="D155" s="347" t="s">
        <v>609</v>
      </c>
      <c r="E155" s="374" t="s">
        <v>522</v>
      </c>
      <c r="F155" s="374"/>
      <c r="G155" s="42">
        <f>SUM(G156:G161)</f>
        <v>960.57799</v>
      </c>
      <c r="H155" s="42">
        <f>SUM(H156:H161)</f>
        <v>0</v>
      </c>
      <c r="I155" s="42">
        <f>SUM(I156:I161)</f>
        <v>994.80038000000002</v>
      </c>
      <c r="J155" s="42">
        <f>SUM(J156:J161)</f>
        <v>0</v>
      </c>
      <c r="K155" s="42">
        <f t="shared" si="53"/>
        <v>34.222390000000019</v>
      </c>
      <c r="L155" s="42">
        <f t="shared" si="54"/>
        <v>0</v>
      </c>
      <c r="M155" s="217">
        <f t="shared" si="41"/>
        <v>0</v>
      </c>
      <c r="N155" s="43"/>
      <c r="R155" s="42">
        <f>SUM(R156:R161)</f>
        <v>1273.24116</v>
      </c>
      <c r="S155" s="42">
        <f>SUM(S156:S161)</f>
        <v>0</v>
      </c>
      <c r="T155" s="217"/>
      <c r="U155" s="42">
        <f>SUM(U156:U161)</f>
        <v>1989.2639999999999</v>
      </c>
      <c r="V155" s="42">
        <f>SUM(V156:V161)</f>
        <v>0</v>
      </c>
      <c r="W155" s="203">
        <f t="shared" si="47"/>
        <v>-34.222390000000019</v>
      </c>
      <c r="X155" s="203">
        <f t="shared" si="48"/>
        <v>0</v>
      </c>
    </row>
    <row r="156" spans="1:24" s="4" customFormat="1" ht="15" x14ac:dyDescent="0.2">
      <c r="A156" s="739" t="s">
        <v>523</v>
      </c>
      <c r="B156" s="125" t="s">
        <v>969</v>
      </c>
      <c r="C156" s="348" t="s">
        <v>608</v>
      </c>
      <c r="D156" s="348" t="s">
        <v>609</v>
      </c>
      <c r="E156" s="375" t="s">
        <v>522</v>
      </c>
      <c r="F156" s="375" t="s">
        <v>129</v>
      </c>
      <c r="G156" s="43">
        <v>710.12111000000004</v>
      </c>
      <c r="H156" s="43"/>
      <c r="I156" s="43">
        <v>732.64400000000001</v>
      </c>
      <c r="J156" s="43"/>
      <c r="K156" s="43">
        <f t="shared" si="53"/>
        <v>22.522889999999961</v>
      </c>
      <c r="L156" s="43">
        <f t="shared" si="54"/>
        <v>0</v>
      </c>
      <c r="M156" s="217">
        <f t="shared" si="41"/>
        <v>0</v>
      </c>
      <c r="N156" s="43"/>
      <c r="R156" s="43">
        <v>881.06894999999997</v>
      </c>
      <c r="S156" s="43"/>
      <c r="T156" s="217"/>
      <c r="U156" s="43">
        <v>1211.1838</v>
      </c>
      <c r="V156" s="43">
        <v>0</v>
      </c>
      <c r="W156" s="203">
        <f t="shared" si="47"/>
        <v>-22.522889999999961</v>
      </c>
      <c r="X156" s="203">
        <f t="shared" si="48"/>
        <v>0</v>
      </c>
    </row>
    <row r="157" spans="1:24" s="4" customFormat="1" ht="15" x14ac:dyDescent="0.2">
      <c r="A157" s="739" t="s">
        <v>191</v>
      </c>
      <c r="B157" s="125" t="s">
        <v>969</v>
      </c>
      <c r="C157" s="348" t="s">
        <v>608</v>
      </c>
      <c r="D157" s="348" t="s">
        <v>609</v>
      </c>
      <c r="E157" s="375" t="s">
        <v>522</v>
      </c>
      <c r="F157" s="375" t="s">
        <v>636</v>
      </c>
      <c r="G157" s="43">
        <v>10</v>
      </c>
      <c r="H157" s="43"/>
      <c r="I157" s="43">
        <v>14.2</v>
      </c>
      <c r="J157" s="43"/>
      <c r="K157" s="43">
        <f t="shared" si="53"/>
        <v>4.1999999999999993</v>
      </c>
      <c r="L157" s="43">
        <f t="shared" si="54"/>
        <v>0</v>
      </c>
      <c r="M157" s="217">
        <f t="shared" si="41"/>
        <v>0</v>
      </c>
      <c r="N157" s="43"/>
      <c r="P157" s="40">
        <f>G157+G159+G160</f>
        <v>36</v>
      </c>
      <c r="R157" s="43">
        <v>36.82</v>
      </c>
      <c r="S157" s="43"/>
      <c r="T157" s="217"/>
      <c r="U157" s="43">
        <v>51.85</v>
      </c>
      <c r="V157" s="43">
        <v>0</v>
      </c>
      <c r="W157" s="203">
        <f t="shared" si="47"/>
        <v>-4.1999999999999993</v>
      </c>
      <c r="X157" s="203">
        <f t="shared" si="48"/>
        <v>0</v>
      </c>
    </row>
    <row r="158" spans="1:24" s="4" customFormat="1" ht="25.5" x14ac:dyDescent="0.2">
      <c r="A158" s="739" t="s">
        <v>572</v>
      </c>
      <c r="B158" s="125" t="s">
        <v>969</v>
      </c>
      <c r="C158" s="348" t="s">
        <v>608</v>
      </c>
      <c r="D158" s="348" t="s">
        <v>609</v>
      </c>
      <c r="E158" s="375" t="s">
        <v>522</v>
      </c>
      <c r="F158" s="375" t="s">
        <v>524</v>
      </c>
      <c r="G158" s="43">
        <v>214.45688000000001</v>
      </c>
      <c r="H158" s="43"/>
      <c r="I158" s="43">
        <v>238.22038000000001</v>
      </c>
      <c r="J158" s="43"/>
      <c r="K158" s="43">
        <f t="shared" si="53"/>
        <v>23.763499999999993</v>
      </c>
      <c r="L158" s="43">
        <f t="shared" si="54"/>
        <v>0</v>
      </c>
      <c r="M158" s="217">
        <f t="shared" si="41"/>
        <v>0</v>
      </c>
      <c r="N158" s="43"/>
      <c r="R158" s="43">
        <v>263.47221000000002</v>
      </c>
      <c r="S158" s="43"/>
      <c r="T158" s="217"/>
      <c r="U158" s="43">
        <v>365.26420000000002</v>
      </c>
      <c r="V158" s="43">
        <v>0</v>
      </c>
      <c r="W158" s="203">
        <f t="shared" si="47"/>
        <v>-23.763499999999993</v>
      </c>
      <c r="X158" s="203">
        <f t="shared" si="48"/>
        <v>0</v>
      </c>
    </row>
    <row r="159" spans="1:24" s="4" customFormat="1" ht="15" hidden="1" x14ac:dyDescent="0.2">
      <c r="A159" s="124" t="s">
        <v>233</v>
      </c>
      <c r="B159" s="125" t="s">
        <v>969</v>
      </c>
      <c r="C159" s="348" t="s">
        <v>608</v>
      </c>
      <c r="D159" s="348" t="s">
        <v>609</v>
      </c>
      <c r="E159" s="375" t="s">
        <v>522</v>
      </c>
      <c r="F159" s="375" t="s">
        <v>635</v>
      </c>
      <c r="G159" s="43">
        <v>0</v>
      </c>
      <c r="H159" s="43"/>
      <c r="I159" s="43">
        <v>0</v>
      </c>
      <c r="J159" s="43"/>
      <c r="K159" s="43">
        <f t="shared" si="53"/>
        <v>0</v>
      </c>
      <c r="L159" s="43">
        <f t="shared" si="54"/>
        <v>0</v>
      </c>
      <c r="M159" s="217">
        <f t="shared" si="41"/>
        <v>0</v>
      </c>
      <c r="N159" s="43"/>
      <c r="R159" s="43">
        <v>51.816000000000003</v>
      </c>
      <c r="S159" s="43"/>
      <c r="T159" s="217"/>
      <c r="U159" s="43">
        <v>70.816000000000003</v>
      </c>
      <c r="V159" s="43">
        <v>0</v>
      </c>
      <c r="W159" s="203">
        <f t="shared" si="47"/>
        <v>0</v>
      </c>
      <c r="X159" s="203">
        <f t="shared" si="48"/>
        <v>0</v>
      </c>
    </row>
    <row r="160" spans="1:24" s="4" customFormat="1" ht="15" x14ac:dyDescent="0.2">
      <c r="A160" s="739" t="s">
        <v>834</v>
      </c>
      <c r="B160" s="125" t="s">
        <v>969</v>
      </c>
      <c r="C160" s="348" t="s">
        <v>608</v>
      </c>
      <c r="D160" s="348" t="s">
        <v>609</v>
      </c>
      <c r="E160" s="375" t="s">
        <v>522</v>
      </c>
      <c r="F160" s="375" t="s">
        <v>634</v>
      </c>
      <c r="G160" s="43">
        <v>26</v>
      </c>
      <c r="H160" s="43"/>
      <c r="I160" s="43">
        <v>9.7360000000000007</v>
      </c>
      <c r="J160" s="43"/>
      <c r="K160" s="43">
        <f t="shared" si="53"/>
        <v>-16.263999999999999</v>
      </c>
      <c r="L160" s="43">
        <f t="shared" si="54"/>
        <v>0</v>
      </c>
      <c r="M160" s="217">
        <f t="shared" si="41"/>
        <v>0</v>
      </c>
      <c r="N160" s="43"/>
      <c r="R160" s="43">
        <v>40.064</v>
      </c>
      <c r="S160" s="43"/>
      <c r="T160" s="217"/>
      <c r="U160" s="43">
        <v>290.14738</v>
      </c>
      <c r="V160" s="43">
        <v>0</v>
      </c>
      <c r="W160" s="203">
        <f t="shared" si="47"/>
        <v>16.263999999999999</v>
      </c>
      <c r="X160" s="203">
        <f t="shared" si="48"/>
        <v>0</v>
      </c>
    </row>
    <row r="161" spans="1:24" s="4" customFormat="1" ht="12.75" hidden="1" customHeight="1" x14ac:dyDescent="0.2">
      <c r="A161" s="124" t="s">
        <v>303</v>
      </c>
      <c r="B161" s="125" t="s">
        <v>969</v>
      </c>
      <c r="C161" s="348" t="s">
        <v>608</v>
      </c>
      <c r="D161" s="348" t="s">
        <v>609</v>
      </c>
      <c r="E161" s="375" t="s">
        <v>522</v>
      </c>
      <c r="F161" s="375">
        <v>853</v>
      </c>
      <c r="G161" s="43"/>
      <c r="H161" s="43"/>
      <c r="I161" s="43"/>
      <c r="J161" s="43"/>
      <c r="K161" s="43">
        <f t="shared" si="53"/>
        <v>0</v>
      </c>
      <c r="L161" s="43">
        <f t="shared" si="54"/>
        <v>0</v>
      </c>
      <c r="M161" s="217"/>
      <c r="N161" s="43"/>
      <c r="R161" s="43"/>
      <c r="S161" s="43"/>
      <c r="T161" s="217"/>
      <c r="U161" s="43">
        <v>2.6199999999999999E-3</v>
      </c>
      <c r="V161" s="43"/>
      <c r="W161" s="203"/>
      <c r="X161" s="203"/>
    </row>
    <row r="162" spans="1:24" s="4" customFormat="1" ht="29.25" hidden="1" customHeight="1" x14ac:dyDescent="0.2">
      <c r="A162" s="133" t="s">
        <v>1229</v>
      </c>
      <c r="B162" s="131" t="s">
        <v>969</v>
      </c>
      <c r="C162" s="349" t="s">
        <v>608</v>
      </c>
      <c r="D162" s="349" t="s">
        <v>609</v>
      </c>
      <c r="E162" s="376" t="s">
        <v>1419</v>
      </c>
      <c r="F162" s="376"/>
      <c r="G162" s="42">
        <f>G163</f>
        <v>0</v>
      </c>
      <c r="H162" s="42">
        <f>H163</f>
        <v>0</v>
      </c>
      <c r="I162" s="42">
        <f>I163</f>
        <v>0</v>
      </c>
      <c r="J162" s="42">
        <f>J163</f>
        <v>0</v>
      </c>
      <c r="K162" s="42">
        <f t="shared" si="53"/>
        <v>0</v>
      </c>
      <c r="L162" s="42">
        <f t="shared" si="54"/>
        <v>0</v>
      </c>
      <c r="M162" s="217"/>
      <c r="N162" s="43"/>
      <c r="R162" s="42">
        <f>R163</f>
        <v>0</v>
      </c>
      <c r="S162" s="42">
        <f>S163</f>
        <v>0</v>
      </c>
      <c r="T162" s="217"/>
      <c r="U162" s="42">
        <f>U163</f>
        <v>2599.1999999999998</v>
      </c>
      <c r="V162" s="42">
        <f>V163</f>
        <v>0</v>
      </c>
      <c r="W162" s="203"/>
      <c r="X162" s="203"/>
    </row>
    <row r="163" spans="1:24" s="4" customFormat="1" ht="18.75" hidden="1" customHeight="1" x14ac:dyDescent="0.2">
      <c r="A163" s="186" t="s">
        <v>835</v>
      </c>
      <c r="B163" s="125" t="s">
        <v>969</v>
      </c>
      <c r="C163" s="348" t="s">
        <v>608</v>
      </c>
      <c r="D163" s="348" t="s">
        <v>609</v>
      </c>
      <c r="E163" s="375" t="s">
        <v>1419</v>
      </c>
      <c r="F163" s="375">
        <v>323</v>
      </c>
      <c r="G163" s="43"/>
      <c r="H163" s="43"/>
      <c r="I163" s="43"/>
      <c r="J163" s="43"/>
      <c r="K163" s="43">
        <f t="shared" si="53"/>
        <v>0</v>
      </c>
      <c r="L163" s="43">
        <f t="shared" si="54"/>
        <v>0</v>
      </c>
      <c r="M163" s="217"/>
      <c r="N163" s="43"/>
      <c r="R163" s="43"/>
      <c r="S163" s="43"/>
      <c r="T163" s="217"/>
      <c r="U163" s="43">
        <v>2599.1999999999998</v>
      </c>
      <c r="V163" s="43"/>
      <c r="W163" s="203"/>
      <c r="X163" s="203"/>
    </row>
    <row r="164" spans="1:24" s="4" customFormat="1" ht="15" hidden="1" x14ac:dyDescent="0.2">
      <c r="A164" s="121" t="s">
        <v>1050</v>
      </c>
      <c r="B164" s="131" t="s">
        <v>969</v>
      </c>
      <c r="C164" s="349" t="s">
        <v>608</v>
      </c>
      <c r="D164" s="349" t="s">
        <v>609</v>
      </c>
      <c r="E164" s="376" t="s">
        <v>1049</v>
      </c>
      <c r="F164" s="376"/>
      <c r="G164" s="42">
        <f>G165+G166</f>
        <v>0</v>
      </c>
      <c r="H164" s="42">
        <f>H165+H166</f>
        <v>0</v>
      </c>
      <c r="I164" s="42">
        <f>I165+I166</f>
        <v>0</v>
      </c>
      <c r="J164" s="42">
        <f>J165+J166</f>
        <v>0</v>
      </c>
      <c r="K164" s="42">
        <f t="shared" si="53"/>
        <v>0</v>
      </c>
      <c r="L164" s="42">
        <f t="shared" si="54"/>
        <v>0</v>
      </c>
      <c r="M164" s="217">
        <f t="shared" si="41"/>
        <v>0</v>
      </c>
      <c r="N164" s="43"/>
      <c r="R164" s="42">
        <f>R165+R166</f>
        <v>1228.3879999999999</v>
      </c>
      <c r="S164" s="42">
        <f>S165+S166</f>
        <v>0</v>
      </c>
      <c r="T164" s="217"/>
      <c r="U164" s="42">
        <f>U165+U166</f>
        <v>470.495</v>
      </c>
      <c r="V164" s="42">
        <f>V165+V166</f>
        <v>0</v>
      </c>
      <c r="W164" s="203">
        <f t="shared" si="47"/>
        <v>0</v>
      </c>
      <c r="X164" s="203">
        <f t="shared" si="48"/>
        <v>0</v>
      </c>
    </row>
    <row r="165" spans="1:24" s="4" customFormat="1" ht="15" hidden="1" x14ac:dyDescent="0.2">
      <c r="A165" s="124" t="s">
        <v>523</v>
      </c>
      <c r="B165" s="125" t="s">
        <v>969</v>
      </c>
      <c r="C165" s="348" t="s">
        <v>608</v>
      </c>
      <c r="D165" s="348" t="s">
        <v>609</v>
      </c>
      <c r="E165" s="375" t="s">
        <v>1049</v>
      </c>
      <c r="F165" s="375" t="s">
        <v>129</v>
      </c>
      <c r="G165" s="43"/>
      <c r="H165" s="43"/>
      <c r="I165" s="43"/>
      <c r="J165" s="43"/>
      <c r="K165" s="43">
        <f t="shared" si="53"/>
        <v>0</v>
      </c>
      <c r="L165" s="43">
        <f t="shared" si="54"/>
        <v>0</v>
      </c>
      <c r="M165" s="217">
        <f t="shared" si="41"/>
        <v>0</v>
      </c>
      <c r="N165" s="43"/>
      <c r="P165" s="301"/>
      <c r="Q165" s="301"/>
      <c r="R165" s="43">
        <v>943.46199999999999</v>
      </c>
      <c r="S165" s="43"/>
      <c r="T165" s="217"/>
      <c r="U165" s="43">
        <v>369.46499999999997</v>
      </c>
      <c r="V165" s="43"/>
      <c r="W165" s="203">
        <f t="shared" si="47"/>
        <v>0</v>
      </c>
      <c r="X165" s="203">
        <f t="shared" si="48"/>
        <v>0</v>
      </c>
    </row>
    <row r="166" spans="1:24" s="4" customFormat="1" ht="25.5" hidden="1" x14ac:dyDescent="0.2">
      <c r="A166" s="124" t="s">
        <v>572</v>
      </c>
      <c r="B166" s="125" t="s">
        <v>969</v>
      </c>
      <c r="C166" s="348" t="s">
        <v>608</v>
      </c>
      <c r="D166" s="348" t="s">
        <v>609</v>
      </c>
      <c r="E166" s="375" t="s">
        <v>1049</v>
      </c>
      <c r="F166" s="375" t="s">
        <v>524</v>
      </c>
      <c r="G166" s="43"/>
      <c r="H166" s="43"/>
      <c r="I166" s="43"/>
      <c r="J166" s="43"/>
      <c r="K166" s="43">
        <f t="shared" si="53"/>
        <v>0</v>
      </c>
      <c r="L166" s="43">
        <f t="shared" si="54"/>
        <v>0</v>
      </c>
      <c r="M166" s="217">
        <f t="shared" si="41"/>
        <v>0</v>
      </c>
      <c r="N166" s="43"/>
      <c r="P166" s="301"/>
      <c r="Q166" s="301"/>
      <c r="R166" s="43">
        <v>284.92599999999999</v>
      </c>
      <c r="S166" s="43"/>
      <c r="T166" s="217"/>
      <c r="U166" s="43">
        <v>101.03</v>
      </c>
      <c r="V166" s="43"/>
      <c r="W166" s="203">
        <f t="shared" si="47"/>
        <v>0</v>
      </c>
      <c r="X166" s="203">
        <f t="shared" si="48"/>
        <v>0</v>
      </c>
    </row>
    <row r="167" spans="1:24" s="4" customFormat="1" ht="15" x14ac:dyDescent="0.2">
      <c r="A167" s="741" t="s">
        <v>1383</v>
      </c>
      <c r="B167" s="131" t="s">
        <v>969</v>
      </c>
      <c r="C167" s="349" t="s">
        <v>608</v>
      </c>
      <c r="D167" s="349" t="s">
        <v>609</v>
      </c>
      <c r="E167" s="376" t="s">
        <v>1268</v>
      </c>
      <c r="F167" s="376"/>
      <c r="G167" s="42">
        <f>G168+G169</f>
        <v>1521.973</v>
      </c>
      <c r="H167" s="42">
        <f>H168+H169</f>
        <v>0</v>
      </c>
      <c r="I167" s="42">
        <f>I168+I169</f>
        <v>1521.973</v>
      </c>
      <c r="J167" s="42">
        <f>J168+J169</f>
        <v>0</v>
      </c>
      <c r="K167" s="42">
        <f t="shared" si="53"/>
        <v>0</v>
      </c>
      <c r="L167" s="42">
        <f t="shared" si="54"/>
        <v>0</v>
      </c>
      <c r="M167" s="217"/>
      <c r="N167" s="43"/>
      <c r="P167" s="301"/>
      <c r="Q167" s="301"/>
      <c r="R167" s="43"/>
      <c r="S167" s="43"/>
      <c r="T167" s="217"/>
      <c r="U167" s="43"/>
      <c r="V167" s="43"/>
      <c r="W167" s="203"/>
      <c r="X167" s="203"/>
    </row>
    <row r="168" spans="1:24" s="4" customFormat="1" ht="15" x14ac:dyDescent="0.2">
      <c r="A168" s="739" t="s">
        <v>523</v>
      </c>
      <c r="B168" s="125" t="s">
        <v>969</v>
      </c>
      <c r="C168" s="348" t="s">
        <v>608</v>
      </c>
      <c r="D168" s="348" t="s">
        <v>609</v>
      </c>
      <c r="E168" s="375" t="s">
        <v>1268</v>
      </c>
      <c r="F168" s="375" t="s">
        <v>129</v>
      </c>
      <c r="G168" s="43">
        <v>1168.95</v>
      </c>
      <c r="H168" s="43"/>
      <c r="I168" s="43">
        <v>1168.95</v>
      </c>
      <c r="J168" s="43"/>
      <c r="K168" s="43">
        <f t="shared" si="53"/>
        <v>0</v>
      </c>
      <c r="L168" s="43">
        <f t="shared" si="54"/>
        <v>0</v>
      </c>
      <c r="M168" s="217"/>
      <c r="N168" s="43"/>
      <c r="P168" s="301"/>
      <c r="Q168" s="301"/>
      <c r="R168" s="43"/>
      <c r="S168" s="43"/>
      <c r="T168" s="217"/>
      <c r="U168" s="43"/>
      <c r="V168" s="43"/>
      <c r="W168" s="203"/>
      <c r="X168" s="203"/>
    </row>
    <row r="169" spans="1:24" s="4" customFormat="1" ht="25.5" x14ac:dyDescent="0.2">
      <c r="A169" s="739" t="s">
        <v>572</v>
      </c>
      <c r="B169" s="125" t="s">
        <v>969</v>
      </c>
      <c r="C169" s="348" t="s">
        <v>608</v>
      </c>
      <c r="D169" s="348" t="s">
        <v>609</v>
      </c>
      <c r="E169" s="375" t="s">
        <v>1268</v>
      </c>
      <c r="F169" s="375" t="s">
        <v>524</v>
      </c>
      <c r="G169" s="43">
        <v>353.02300000000002</v>
      </c>
      <c r="H169" s="43"/>
      <c r="I169" s="43">
        <v>353.02300000000002</v>
      </c>
      <c r="J169" s="43"/>
      <c r="K169" s="43">
        <f t="shared" si="53"/>
        <v>0</v>
      </c>
      <c r="L169" s="43">
        <f t="shared" si="54"/>
        <v>0</v>
      </c>
      <c r="M169" s="217"/>
      <c r="N169" s="43"/>
      <c r="P169" s="301"/>
      <c r="Q169" s="301"/>
      <c r="R169" s="43"/>
      <c r="S169" s="43"/>
      <c r="T169" s="217"/>
      <c r="U169" s="43"/>
      <c r="V169" s="43"/>
      <c r="W169" s="203"/>
      <c r="X169" s="203"/>
    </row>
    <row r="170" spans="1:24" s="4" customFormat="1" ht="25.5" x14ac:dyDescent="0.2">
      <c r="A170" s="741" t="s">
        <v>2004</v>
      </c>
      <c r="B170" s="131" t="s">
        <v>969</v>
      </c>
      <c r="C170" s="349" t="s">
        <v>608</v>
      </c>
      <c r="D170" s="349" t="s">
        <v>609</v>
      </c>
      <c r="E170" s="376" t="s">
        <v>2003</v>
      </c>
      <c r="F170" s="376"/>
      <c r="G170" s="42">
        <f>SUM(G171:G174)</f>
        <v>0</v>
      </c>
      <c r="H170" s="42">
        <f t="shared" ref="H170:L170" si="55">SUM(H171:H174)</f>
        <v>0</v>
      </c>
      <c r="I170" s="42">
        <f t="shared" si="55"/>
        <v>1003.61898</v>
      </c>
      <c r="J170" s="42">
        <f t="shared" si="55"/>
        <v>0</v>
      </c>
      <c r="K170" s="42">
        <f t="shared" si="55"/>
        <v>1003.61898</v>
      </c>
      <c r="L170" s="42">
        <f t="shared" si="55"/>
        <v>0</v>
      </c>
      <c r="M170" s="217"/>
      <c r="N170" s="43"/>
      <c r="P170" s="301"/>
      <c r="Q170" s="301"/>
      <c r="R170" s="43"/>
      <c r="S170" s="43"/>
      <c r="T170" s="217"/>
      <c r="U170" s="43"/>
      <c r="V170" s="43"/>
      <c r="W170" s="203"/>
      <c r="X170" s="203"/>
    </row>
    <row r="171" spans="1:24" s="4" customFormat="1" ht="15" x14ac:dyDescent="0.2">
      <c r="A171" s="739" t="s">
        <v>2006</v>
      </c>
      <c r="B171" s="125" t="s">
        <v>969</v>
      </c>
      <c r="C171" s="348" t="s">
        <v>608</v>
      </c>
      <c r="D171" s="348" t="s">
        <v>609</v>
      </c>
      <c r="E171" s="375" t="s">
        <v>2003</v>
      </c>
      <c r="F171" s="375">
        <v>111</v>
      </c>
      <c r="G171" s="43"/>
      <c r="H171" s="43"/>
      <c r="I171" s="43">
        <v>110</v>
      </c>
      <c r="J171" s="43"/>
      <c r="K171" s="43">
        <f t="shared" ref="K171:K172" si="56">I171-G171</f>
        <v>110</v>
      </c>
      <c r="L171" s="43">
        <f t="shared" ref="L171:L172" si="57">J171-H171</f>
        <v>0</v>
      </c>
      <c r="M171" s="217"/>
      <c r="N171" s="43"/>
      <c r="P171" s="301"/>
      <c r="Q171" s="301"/>
      <c r="R171" s="43"/>
      <c r="S171" s="43"/>
      <c r="T171" s="217"/>
      <c r="U171" s="43"/>
      <c r="V171" s="43"/>
      <c r="W171" s="203"/>
      <c r="X171" s="203"/>
    </row>
    <row r="172" spans="1:24" s="4" customFormat="1" ht="25.5" x14ac:dyDescent="0.2">
      <c r="A172" s="739" t="s">
        <v>2007</v>
      </c>
      <c r="B172" s="125" t="s">
        <v>969</v>
      </c>
      <c r="C172" s="348" t="s">
        <v>608</v>
      </c>
      <c r="D172" s="348" t="s">
        <v>609</v>
      </c>
      <c r="E172" s="375" t="s">
        <v>2003</v>
      </c>
      <c r="F172" s="375">
        <v>119</v>
      </c>
      <c r="G172" s="43"/>
      <c r="H172" s="43"/>
      <c r="I172" s="43">
        <v>33.22</v>
      </c>
      <c r="J172" s="43"/>
      <c r="K172" s="43">
        <f t="shared" si="56"/>
        <v>33.22</v>
      </c>
      <c r="L172" s="43">
        <f t="shared" si="57"/>
        <v>0</v>
      </c>
      <c r="M172" s="217"/>
      <c r="N172" s="43"/>
      <c r="P172" s="301"/>
      <c r="Q172" s="301"/>
      <c r="R172" s="43"/>
      <c r="S172" s="43"/>
      <c r="T172" s="217"/>
      <c r="U172" s="43"/>
      <c r="V172" s="43"/>
      <c r="W172" s="203"/>
      <c r="X172" s="203"/>
    </row>
    <row r="173" spans="1:24" s="4" customFormat="1" ht="15" x14ac:dyDescent="0.2">
      <c r="A173" s="739" t="s">
        <v>1576</v>
      </c>
      <c r="B173" s="125" t="s">
        <v>969</v>
      </c>
      <c r="C173" s="348" t="s">
        <v>608</v>
      </c>
      <c r="D173" s="348" t="s">
        <v>609</v>
      </c>
      <c r="E173" s="375" t="s">
        <v>2003</v>
      </c>
      <c r="F173" s="375">
        <v>121</v>
      </c>
      <c r="G173" s="43"/>
      <c r="H173" s="43"/>
      <c r="I173" s="43">
        <v>679.80660999999998</v>
      </c>
      <c r="J173" s="43"/>
      <c r="K173" s="43">
        <f t="shared" ref="K173:K174" si="58">I173-G173</f>
        <v>679.80660999999998</v>
      </c>
      <c r="L173" s="43">
        <f t="shared" ref="L173:L174" si="59">J173-H173</f>
        <v>0</v>
      </c>
      <c r="M173" s="217"/>
      <c r="N173" s="43"/>
      <c r="P173" s="301"/>
      <c r="Q173" s="301"/>
      <c r="R173" s="43"/>
      <c r="S173" s="43"/>
      <c r="T173" s="217"/>
      <c r="U173" s="43"/>
      <c r="V173" s="43"/>
      <c r="W173" s="203"/>
      <c r="X173" s="203"/>
    </row>
    <row r="174" spans="1:24" s="4" customFormat="1" ht="25.5" x14ac:dyDescent="0.2">
      <c r="A174" s="739" t="s">
        <v>1578</v>
      </c>
      <c r="B174" s="125" t="s">
        <v>969</v>
      </c>
      <c r="C174" s="348" t="s">
        <v>608</v>
      </c>
      <c r="D174" s="348" t="s">
        <v>609</v>
      </c>
      <c r="E174" s="375" t="s">
        <v>2003</v>
      </c>
      <c r="F174" s="375">
        <v>129</v>
      </c>
      <c r="G174" s="43"/>
      <c r="H174" s="43"/>
      <c r="I174" s="43">
        <v>180.59236999999999</v>
      </c>
      <c r="J174" s="43"/>
      <c r="K174" s="43">
        <f t="shared" si="58"/>
        <v>180.59236999999999</v>
      </c>
      <c r="L174" s="43">
        <f t="shared" si="59"/>
        <v>0</v>
      </c>
      <c r="M174" s="217"/>
      <c r="N174" s="43"/>
      <c r="P174" s="301"/>
      <c r="Q174" s="301"/>
      <c r="R174" s="43"/>
      <c r="S174" s="43"/>
      <c r="T174" s="217"/>
      <c r="U174" s="43"/>
      <c r="V174" s="43"/>
      <c r="W174" s="203"/>
      <c r="X174" s="203"/>
    </row>
    <row r="175" spans="1:24" s="4" customFormat="1" ht="12.75" hidden="1" customHeight="1" x14ac:dyDescent="0.2">
      <c r="A175" s="118" t="s">
        <v>282</v>
      </c>
      <c r="B175" s="67" t="s">
        <v>969</v>
      </c>
      <c r="C175" s="347" t="s">
        <v>608</v>
      </c>
      <c r="D175" s="347" t="s">
        <v>611</v>
      </c>
      <c r="E175" s="377"/>
      <c r="F175" s="377"/>
      <c r="G175" s="42">
        <f>G176</f>
        <v>0</v>
      </c>
      <c r="H175" s="42">
        <f>H176</f>
        <v>0</v>
      </c>
      <c r="I175" s="42">
        <f>I176</f>
        <v>0</v>
      </c>
      <c r="J175" s="42">
        <f>J176</f>
        <v>0</v>
      </c>
      <c r="K175" s="42">
        <f t="shared" si="53"/>
        <v>0</v>
      </c>
      <c r="L175" s="42">
        <f t="shared" si="54"/>
        <v>0</v>
      </c>
      <c r="M175" s="217">
        <f t="shared" si="41"/>
        <v>0</v>
      </c>
      <c r="N175" s="43"/>
      <c r="P175" s="301"/>
      <c r="Q175" s="301"/>
      <c r="R175" s="42">
        <f>R176</f>
        <v>0</v>
      </c>
      <c r="S175" s="42">
        <f>S176</f>
        <v>0</v>
      </c>
      <c r="T175" s="217"/>
      <c r="U175" s="42">
        <f t="shared" ref="U175:V178" si="60">U176</f>
        <v>0</v>
      </c>
      <c r="V175" s="42">
        <f t="shared" si="60"/>
        <v>0</v>
      </c>
      <c r="W175" s="203"/>
      <c r="X175" s="203"/>
    </row>
    <row r="176" spans="1:24" s="4" customFormat="1" ht="12.75" hidden="1" customHeight="1" x14ac:dyDescent="0.2">
      <c r="A176" s="118" t="s">
        <v>1345</v>
      </c>
      <c r="B176" s="67" t="s">
        <v>969</v>
      </c>
      <c r="C176" s="347" t="s">
        <v>608</v>
      </c>
      <c r="D176" s="347" t="s">
        <v>611</v>
      </c>
      <c r="E176" s="377">
        <v>8900000000</v>
      </c>
      <c r="F176" s="377"/>
      <c r="G176" s="42">
        <f t="shared" ref="G176:J178" si="61">G177</f>
        <v>0</v>
      </c>
      <c r="H176" s="42">
        <f t="shared" si="61"/>
        <v>0</v>
      </c>
      <c r="I176" s="42">
        <f t="shared" si="61"/>
        <v>0</v>
      </c>
      <c r="J176" s="42">
        <f t="shared" si="61"/>
        <v>0</v>
      </c>
      <c r="K176" s="42">
        <f t="shared" si="53"/>
        <v>0</v>
      </c>
      <c r="L176" s="42">
        <f t="shared" si="54"/>
        <v>0</v>
      </c>
      <c r="M176" s="217">
        <f t="shared" si="41"/>
        <v>0</v>
      </c>
      <c r="N176" s="43"/>
      <c r="P176" s="301"/>
      <c r="Q176" s="301"/>
      <c r="R176" s="42">
        <f t="shared" ref="R176:S178" si="62">R177</f>
        <v>0</v>
      </c>
      <c r="S176" s="42">
        <f t="shared" si="62"/>
        <v>0</v>
      </c>
      <c r="T176" s="217"/>
      <c r="U176" s="42">
        <f t="shared" si="60"/>
        <v>0</v>
      </c>
      <c r="V176" s="42">
        <f t="shared" si="60"/>
        <v>0</v>
      </c>
      <c r="W176" s="203"/>
      <c r="X176" s="203"/>
    </row>
    <row r="177" spans="1:24" s="4" customFormat="1" ht="12.75" hidden="1" customHeight="1" x14ac:dyDescent="0.2">
      <c r="A177" s="118" t="s">
        <v>1346</v>
      </c>
      <c r="B177" s="67" t="s">
        <v>969</v>
      </c>
      <c r="C177" s="347" t="s">
        <v>608</v>
      </c>
      <c r="D177" s="347" t="s">
        <v>611</v>
      </c>
      <c r="E177" s="377">
        <v>8900500000</v>
      </c>
      <c r="F177" s="377"/>
      <c r="G177" s="42">
        <f t="shared" si="61"/>
        <v>0</v>
      </c>
      <c r="H177" s="42">
        <f t="shared" si="61"/>
        <v>0</v>
      </c>
      <c r="I177" s="42">
        <f t="shared" si="61"/>
        <v>0</v>
      </c>
      <c r="J177" s="42">
        <f t="shared" si="61"/>
        <v>0</v>
      </c>
      <c r="K177" s="42">
        <f t="shared" si="53"/>
        <v>0</v>
      </c>
      <c r="L177" s="42">
        <f t="shared" si="54"/>
        <v>0</v>
      </c>
      <c r="M177" s="217">
        <f t="shared" si="41"/>
        <v>0</v>
      </c>
      <c r="N177" s="43"/>
      <c r="P177" s="301"/>
      <c r="Q177" s="301"/>
      <c r="R177" s="42">
        <f t="shared" si="62"/>
        <v>0</v>
      </c>
      <c r="S177" s="42">
        <f t="shared" si="62"/>
        <v>0</v>
      </c>
      <c r="T177" s="217"/>
      <c r="U177" s="42">
        <f t="shared" si="60"/>
        <v>0</v>
      </c>
      <c r="V177" s="42">
        <f t="shared" si="60"/>
        <v>0</v>
      </c>
      <c r="W177" s="203"/>
      <c r="X177" s="203"/>
    </row>
    <row r="178" spans="1:24" s="4" customFormat="1" ht="12.75" hidden="1" customHeight="1" x14ac:dyDescent="0.2">
      <c r="A178" s="118" t="s">
        <v>544</v>
      </c>
      <c r="B178" s="67" t="s">
        <v>969</v>
      </c>
      <c r="C178" s="347" t="s">
        <v>608</v>
      </c>
      <c r="D178" s="347" t="s">
        <v>611</v>
      </c>
      <c r="E178" s="377" t="s">
        <v>1286</v>
      </c>
      <c r="F178" s="377"/>
      <c r="G178" s="42">
        <f t="shared" si="61"/>
        <v>0</v>
      </c>
      <c r="H178" s="42">
        <f t="shared" si="61"/>
        <v>0</v>
      </c>
      <c r="I178" s="42">
        <f t="shared" si="61"/>
        <v>0</v>
      </c>
      <c r="J178" s="42">
        <f t="shared" si="61"/>
        <v>0</v>
      </c>
      <c r="K178" s="42">
        <f t="shared" si="53"/>
        <v>0</v>
      </c>
      <c r="L178" s="42">
        <f t="shared" si="54"/>
        <v>0</v>
      </c>
      <c r="M178" s="217">
        <f t="shared" si="41"/>
        <v>0</v>
      </c>
      <c r="N178" s="43"/>
      <c r="P178" s="301"/>
      <c r="Q178" s="301"/>
      <c r="R178" s="42">
        <f t="shared" si="62"/>
        <v>0</v>
      </c>
      <c r="S178" s="42">
        <f t="shared" si="62"/>
        <v>0</v>
      </c>
      <c r="T178" s="217"/>
      <c r="U178" s="42">
        <f t="shared" si="60"/>
        <v>0</v>
      </c>
      <c r="V178" s="42">
        <f t="shared" si="60"/>
        <v>0</v>
      </c>
      <c r="W178" s="203"/>
      <c r="X178" s="203"/>
    </row>
    <row r="179" spans="1:24" s="4" customFormat="1" ht="12.75" hidden="1" customHeight="1" x14ac:dyDescent="0.2">
      <c r="A179" s="124" t="s">
        <v>578</v>
      </c>
      <c r="B179" s="68" t="s">
        <v>969</v>
      </c>
      <c r="C179" s="352" t="s">
        <v>608</v>
      </c>
      <c r="D179" s="352" t="s">
        <v>611</v>
      </c>
      <c r="E179" s="369" t="s">
        <v>1286</v>
      </c>
      <c r="F179" s="369">
        <v>244</v>
      </c>
      <c r="G179" s="288">
        <v>0</v>
      </c>
      <c r="H179" s="288">
        <v>0</v>
      </c>
      <c r="I179" s="288">
        <v>0</v>
      </c>
      <c r="J179" s="288">
        <v>0</v>
      </c>
      <c r="K179" s="43">
        <f t="shared" si="53"/>
        <v>0</v>
      </c>
      <c r="L179" s="43">
        <f t="shared" si="54"/>
        <v>0</v>
      </c>
      <c r="M179" s="217">
        <f t="shared" si="41"/>
        <v>0</v>
      </c>
      <c r="N179" s="43"/>
      <c r="P179" s="301"/>
      <c r="Q179" s="301"/>
      <c r="R179" s="288">
        <v>0</v>
      </c>
      <c r="S179" s="288">
        <v>0</v>
      </c>
      <c r="T179" s="217"/>
      <c r="U179" s="288">
        <v>0</v>
      </c>
      <c r="V179" s="288">
        <v>0</v>
      </c>
      <c r="W179" s="203"/>
      <c r="X179" s="203"/>
    </row>
    <row r="180" spans="1:24" s="4" customFormat="1" ht="15" x14ac:dyDescent="0.2">
      <c r="A180" s="738" t="s">
        <v>282</v>
      </c>
      <c r="B180" s="67" t="s">
        <v>969</v>
      </c>
      <c r="C180" s="347" t="s">
        <v>608</v>
      </c>
      <c r="D180" s="347" t="s">
        <v>619</v>
      </c>
      <c r="E180" s="377"/>
      <c r="F180" s="377"/>
      <c r="G180" s="42">
        <f>G185+G189+G181</f>
        <v>150</v>
      </c>
      <c r="H180" s="42">
        <f>H185+H189+H181</f>
        <v>0</v>
      </c>
      <c r="I180" s="42">
        <f>I185+I189+I181</f>
        <v>275</v>
      </c>
      <c r="J180" s="42">
        <f>J185+J189+J181</f>
        <v>0</v>
      </c>
      <c r="K180" s="42">
        <f t="shared" si="53"/>
        <v>125</v>
      </c>
      <c r="L180" s="42">
        <f t="shared" si="54"/>
        <v>0</v>
      </c>
      <c r="M180" s="217">
        <f t="shared" si="41"/>
        <v>0</v>
      </c>
      <c r="N180" s="43"/>
      <c r="P180" s="301"/>
      <c r="Q180" s="301"/>
      <c r="R180" s="42">
        <f>R185+R189+R181</f>
        <v>150</v>
      </c>
      <c r="S180" s="42">
        <f>S185+S189+S181</f>
        <v>0</v>
      </c>
      <c r="T180" s="217"/>
      <c r="U180" s="42">
        <f>U185+U189+U181</f>
        <v>99</v>
      </c>
      <c r="V180" s="42">
        <f>V185+V189+V181</f>
        <v>0</v>
      </c>
      <c r="W180" s="203">
        <f t="shared" si="47"/>
        <v>-125</v>
      </c>
      <c r="X180" s="203">
        <f t="shared" si="48"/>
        <v>0</v>
      </c>
    </row>
    <row r="181" spans="1:24" s="4" customFormat="1" ht="25.5" x14ac:dyDescent="0.2">
      <c r="A181" s="738" t="s">
        <v>1345</v>
      </c>
      <c r="B181" s="67" t="s">
        <v>969</v>
      </c>
      <c r="C181" s="347" t="s">
        <v>608</v>
      </c>
      <c r="D181" s="347" t="s">
        <v>619</v>
      </c>
      <c r="E181" s="377" t="s">
        <v>1349</v>
      </c>
      <c r="F181" s="377"/>
      <c r="G181" s="42">
        <f t="shared" ref="G181:J183" si="63">G182</f>
        <v>150</v>
      </c>
      <c r="H181" s="42">
        <f t="shared" si="63"/>
        <v>0</v>
      </c>
      <c r="I181" s="42">
        <f t="shared" si="63"/>
        <v>275</v>
      </c>
      <c r="J181" s="42">
        <f t="shared" si="63"/>
        <v>0</v>
      </c>
      <c r="K181" s="42">
        <f t="shared" si="53"/>
        <v>125</v>
      </c>
      <c r="L181" s="42">
        <f t="shared" si="54"/>
        <v>0</v>
      </c>
      <c r="M181" s="217">
        <f t="shared" si="41"/>
        <v>0</v>
      </c>
      <c r="N181" s="43"/>
      <c r="P181" s="301"/>
      <c r="Q181" s="301"/>
      <c r="R181" s="42">
        <f t="shared" ref="R181:S183" si="64">R182</f>
        <v>150</v>
      </c>
      <c r="S181" s="42">
        <f t="shared" si="64"/>
        <v>0</v>
      </c>
      <c r="T181" s="217"/>
      <c r="U181" s="42">
        <f t="shared" ref="U181:V183" si="65">U182</f>
        <v>99</v>
      </c>
      <c r="V181" s="42">
        <f t="shared" si="65"/>
        <v>0</v>
      </c>
      <c r="W181" s="203"/>
      <c r="X181" s="203"/>
    </row>
    <row r="182" spans="1:24" s="4" customFormat="1" ht="15" x14ac:dyDescent="0.2">
      <c r="A182" s="738" t="s">
        <v>1346</v>
      </c>
      <c r="B182" s="67" t="s">
        <v>969</v>
      </c>
      <c r="C182" s="347" t="s">
        <v>608</v>
      </c>
      <c r="D182" s="347" t="s">
        <v>619</v>
      </c>
      <c r="E182" s="377" t="s">
        <v>1348</v>
      </c>
      <c r="F182" s="377"/>
      <c r="G182" s="42">
        <f t="shared" si="63"/>
        <v>150</v>
      </c>
      <c r="H182" s="42">
        <f t="shared" si="63"/>
        <v>0</v>
      </c>
      <c r="I182" s="42">
        <f t="shared" si="63"/>
        <v>275</v>
      </c>
      <c r="J182" s="42">
        <f t="shared" si="63"/>
        <v>0</v>
      </c>
      <c r="K182" s="42">
        <f t="shared" si="53"/>
        <v>125</v>
      </c>
      <c r="L182" s="42">
        <f t="shared" si="54"/>
        <v>0</v>
      </c>
      <c r="M182" s="217">
        <f t="shared" si="41"/>
        <v>0</v>
      </c>
      <c r="N182" s="43"/>
      <c r="P182" s="301"/>
      <c r="Q182" s="301"/>
      <c r="R182" s="42">
        <f t="shared" si="64"/>
        <v>150</v>
      </c>
      <c r="S182" s="42">
        <f t="shared" si="64"/>
        <v>0</v>
      </c>
      <c r="T182" s="217"/>
      <c r="U182" s="42">
        <f t="shared" si="65"/>
        <v>99</v>
      </c>
      <c r="V182" s="42">
        <f t="shared" si="65"/>
        <v>0</v>
      </c>
      <c r="W182" s="203"/>
      <c r="X182" s="203"/>
    </row>
    <row r="183" spans="1:24" s="4" customFormat="1" ht="15" x14ac:dyDescent="0.2">
      <c r="A183" s="738" t="s">
        <v>544</v>
      </c>
      <c r="B183" s="67" t="s">
        <v>969</v>
      </c>
      <c r="C183" s="347" t="s">
        <v>608</v>
      </c>
      <c r="D183" s="347" t="s">
        <v>619</v>
      </c>
      <c r="E183" s="377" t="s">
        <v>1347</v>
      </c>
      <c r="F183" s="377"/>
      <c r="G183" s="42">
        <f t="shared" si="63"/>
        <v>150</v>
      </c>
      <c r="H183" s="42">
        <f t="shared" si="63"/>
        <v>0</v>
      </c>
      <c r="I183" s="42">
        <f t="shared" si="63"/>
        <v>275</v>
      </c>
      <c r="J183" s="42">
        <f t="shared" si="63"/>
        <v>0</v>
      </c>
      <c r="K183" s="42">
        <f t="shared" si="53"/>
        <v>125</v>
      </c>
      <c r="L183" s="42">
        <f t="shared" si="54"/>
        <v>0</v>
      </c>
      <c r="M183" s="217">
        <f t="shared" si="41"/>
        <v>0</v>
      </c>
      <c r="N183" s="43"/>
      <c r="P183" s="301"/>
      <c r="Q183" s="301"/>
      <c r="R183" s="42">
        <f t="shared" si="64"/>
        <v>150</v>
      </c>
      <c r="S183" s="42">
        <f t="shared" si="64"/>
        <v>0</v>
      </c>
      <c r="T183" s="217"/>
      <c r="U183" s="42">
        <f t="shared" si="65"/>
        <v>99</v>
      </c>
      <c r="V183" s="42">
        <f t="shared" si="65"/>
        <v>0</v>
      </c>
      <c r="W183" s="203"/>
      <c r="X183" s="203"/>
    </row>
    <row r="184" spans="1:24" s="4" customFormat="1" ht="15" x14ac:dyDescent="0.2">
      <c r="A184" s="739" t="s">
        <v>578</v>
      </c>
      <c r="B184" s="68" t="s">
        <v>969</v>
      </c>
      <c r="C184" s="352" t="s">
        <v>608</v>
      </c>
      <c r="D184" s="352" t="s">
        <v>619</v>
      </c>
      <c r="E184" s="369" t="s">
        <v>1347</v>
      </c>
      <c r="F184" s="369" t="s">
        <v>579</v>
      </c>
      <c r="G184" s="288">
        <v>150</v>
      </c>
      <c r="H184" s="288"/>
      <c r="I184" s="288">
        <v>275</v>
      </c>
      <c r="J184" s="288"/>
      <c r="K184" s="43">
        <f t="shared" si="53"/>
        <v>125</v>
      </c>
      <c r="L184" s="43">
        <f t="shared" si="54"/>
        <v>0</v>
      </c>
      <c r="M184" s="217">
        <f t="shared" si="41"/>
        <v>0</v>
      </c>
      <c r="N184" s="43"/>
      <c r="P184" s="301"/>
      <c r="Q184" s="301"/>
      <c r="R184" s="288">
        <v>150</v>
      </c>
      <c r="S184" s="288"/>
      <c r="T184" s="217"/>
      <c r="U184" s="288">
        <v>99</v>
      </c>
      <c r="V184" s="288">
        <v>0</v>
      </c>
      <c r="W184" s="203"/>
      <c r="X184" s="203"/>
    </row>
    <row r="185" spans="1:24" s="4" customFormat="1" ht="26.25" hidden="1" customHeight="1" x14ac:dyDescent="0.2">
      <c r="A185" s="121" t="s">
        <v>732</v>
      </c>
      <c r="B185" s="67" t="s">
        <v>969</v>
      </c>
      <c r="C185" s="347" t="s">
        <v>608</v>
      </c>
      <c r="D185" s="347" t="s">
        <v>619</v>
      </c>
      <c r="E185" s="377" t="s">
        <v>729</v>
      </c>
      <c r="F185" s="377"/>
      <c r="G185" s="42">
        <f t="shared" ref="G185:J187" si="66">G186</f>
        <v>0</v>
      </c>
      <c r="H185" s="42">
        <f t="shared" si="66"/>
        <v>0</v>
      </c>
      <c r="I185" s="42">
        <f t="shared" si="66"/>
        <v>0</v>
      </c>
      <c r="J185" s="42">
        <f t="shared" si="66"/>
        <v>0</v>
      </c>
      <c r="K185" s="42">
        <f t="shared" si="53"/>
        <v>0</v>
      </c>
      <c r="L185" s="42">
        <f t="shared" si="54"/>
        <v>0</v>
      </c>
      <c r="M185" s="217">
        <f t="shared" si="41"/>
        <v>0</v>
      </c>
      <c r="N185" s="43"/>
      <c r="P185" s="301"/>
      <c r="Q185" s="301"/>
      <c r="R185" s="42">
        <f t="shared" ref="R185:S187" si="67">R186</f>
        <v>0</v>
      </c>
      <c r="S185" s="42">
        <f t="shared" si="67"/>
        <v>0</v>
      </c>
      <c r="T185" s="217"/>
      <c r="U185" s="42">
        <f t="shared" ref="U185:V187" si="68">U186</f>
        <v>0</v>
      </c>
      <c r="V185" s="42">
        <f t="shared" si="68"/>
        <v>0</v>
      </c>
      <c r="W185" s="203">
        <f t="shared" si="47"/>
        <v>0</v>
      </c>
      <c r="X185" s="203">
        <f t="shared" si="48"/>
        <v>0</v>
      </c>
    </row>
    <row r="186" spans="1:24" s="4" customFormat="1" ht="12.75" hidden="1" customHeight="1" x14ac:dyDescent="0.2">
      <c r="A186" s="121" t="s">
        <v>364</v>
      </c>
      <c r="B186" s="67" t="s">
        <v>969</v>
      </c>
      <c r="C186" s="347" t="s">
        <v>608</v>
      </c>
      <c r="D186" s="347" t="s">
        <v>619</v>
      </c>
      <c r="E186" s="377" t="s">
        <v>739</v>
      </c>
      <c r="F186" s="377"/>
      <c r="G186" s="42">
        <f t="shared" si="66"/>
        <v>0</v>
      </c>
      <c r="H186" s="42">
        <f t="shared" si="66"/>
        <v>0</v>
      </c>
      <c r="I186" s="42">
        <f t="shared" si="66"/>
        <v>0</v>
      </c>
      <c r="J186" s="42">
        <f t="shared" si="66"/>
        <v>0</v>
      </c>
      <c r="K186" s="42">
        <f t="shared" si="53"/>
        <v>0</v>
      </c>
      <c r="L186" s="42">
        <f t="shared" si="54"/>
        <v>0</v>
      </c>
      <c r="M186" s="217">
        <f t="shared" si="41"/>
        <v>0</v>
      </c>
      <c r="N186" s="43"/>
      <c r="P186" s="301"/>
      <c r="Q186" s="301"/>
      <c r="R186" s="42">
        <f t="shared" si="67"/>
        <v>0</v>
      </c>
      <c r="S186" s="42">
        <f t="shared" si="67"/>
        <v>0</v>
      </c>
      <c r="T186" s="217"/>
      <c r="U186" s="42">
        <f t="shared" si="68"/>
        <v>0</v>
      </c>
      <c r="V186" s="42">
        <f t="shared" si="68"/>
        <v>0</v>
      </c>
      <c r="W186" s="203">
        <f t="shared" si="47"/>
        <v>0</v>
      </c>
      <c r="X186" s="203">
        <f t="shared" si="48"/>
        <v>0</v>
      </c>
    </row>
    <row r="187" spans="1:24" s="4" customFormat="1" ht="12.75" hidden="1" customHeight="1" x14ac:dyDescent="0.2">
      <c r="A187" s="121" t="s">
        <v>734</v>
      </c>
      <c r="B187" s="67" t="s">
        <v>969</v>
      </c>
      <c r="C187" s="347" t="s">
        <v>608</v>
      </c>
      <c r="D187" s="347" t="s">
        <v>619</v>
      </c>
      <c r="E187" s="377" t="s">
        <v>741</v>
      </c>
      <c r="F187" s="377"/>
      <c r="G187" s="42">
        <f t="shared" si="66"/>
        <v>0</v>
      </c>
      <c r="H187" s="42">
        <f t="shared" si="66"/>
        <v>0</v>
      </c>
      <c r="I187" s="42">
        <f t="shared" si="66"/>
        <v>0</v>
      </c>
      <c r="J187" s="42">
        <f t="shared" si="66"/>
        <v>0</v>
      </c>
      <c r="K187" s="42">
        <f t="shared" si="53"/>
        <v>0</v>
      </c>
      <c r="L187" s="42">
        <f t="shared" si="54"/>
        <v>0</v>
      </c>
      <c r="M187" s="217">
        <f t="shared" si="41"/>
        <v>0</v>
      </c>
      <c r="N187" s="43"/>
      <c r="P187" s="301"/>
      <c r="Q187" s="301"/>
      <c r="R187" s="42">
        <f t="shared" si="67"/>
        <v>0</v>
      </c>
      <c r="S187" s="42">
        <f t="shared" si="67"/>
        <v>0</v>
      </c>
      <c r="T187" s="217"/>
      <c r="U187" s="42">
        <f t="shared" si="68"/>
        <v>0</v>
      </c>
      <c r="V187" s="42">
        <f t="shared" si="68"/>
        <v>0</v>
      </c>
      <c r="W187" s="203">
        <f t="shared" si="47"/>
        <v>0</v>
      </c>
      <c r="X187" s="203">
        <f t="shared" si="48"/>
        <v>0</v>
      </c>
    </row>
    <row r="188" spans="1:24" s="4" customFormat="1" ht="12.75" hidden="1" customHeight="1" x14ac:dyDescent="0.2">
      <c r="A188" s="124" t="s">
        <v>834</v>
      </c>
      <c r="B188" s="68" t="s">
        <v>969</v>
      </c>
      <c r="C188" s="352" t="s">
        <v>608</v>
      </c>
      <c r="D188" s="352" t="s">
        <v>619</v>
      </c>
      <c r="E188" s="378" t="s">
        <v>741</v>
      </c>
      <c r="F188" s="378" t="s">
        <v>634</v>
      </c>
      <c r="G188" s="43">
        <v>0</v>
      </c>
      <c r="H188" s="43"/>
      <c r="I188" s="43">
        <v>0</v>
      </c>
      <c r="J188" s="43"/>
      <c r="K188" s="43">
        <f t="shared" si="53"/>
        <v>0</v>
      </c>
      <c r="L188" s="43">
        <f t="shared" si="54"/>
        <v>0</v>
      </c>
      <c r="M188" s="217">
        <f t="shared" si="41"/>
        <v>0</v>
      </c>
      <c r="N188" s="43"/>
      <c r="P188" s="303">
        <f>G188+G671+G980+G1175+G1325</f>
        <v>531.08979999999997</v>
      </c>
      <c r="Q188" s="303"/>
      <c r="R188" s="43">
        <v>0</v>
      </c>
      <c r="S188" s="43"/>
      <c r="T188" s="217"/>
      <c r="U188" s="43">
        <v>0</v>
      </c>
      <c r="V188" s="43"/>
      <c r="W188" s="203">
        <f t="shared" si="47"/>
        <v>0</v>
      </c>
      <c r="X188" s="203">
        <f t="shared" si="48"/>
        <v>0</v>
      </c>
    </row>
    <row r="189" spans="1:24" s="4" customFormat="1" ht="27.75" hidden="1" customHeight="1" x14ac:dyDescent="0.2">
      <c r="A189" s="121" t="s">
        <v>1205</v>
      </c>
      <c r="B189" s="67" t="s">
        <v>969</v>
      </c>
      <c r="C189" s="347" t="s">
        <v>608</v>
      </c>
      <c r="D189" s="347" t="s">
        <v>619</v>
      </c>
      <c r="E189" s="377" t="s">
        <v>1206</v>
      </c>
      <c r="F189" s="377"/>
      <c r="G189" s="42">
        <f>G190+G193+G196</f>
        <v>0</v>
      </c>
      <c r="H189" s="42">
        <f>H190+H193+H196</f>
        <v>0</v>
      </c>
      <c r="I189" s="42">
        <f>I190+I193+I196</f>
        <v>0</v>
      </c>
      <c r="J189" s="42">
        <f>J190+J193+J196</f>
        <v>0</v>
      </c>
      <c r="K189" s="292">
        <f t="shared" si="53"/>
        <v>0</v>
      </c>
      <c r="L189" s="292">
        <f t="shared" si="54"/>
        <v>0</v>
      </c>
      <c r="M189" s="217">
        <f t="shared" si="41"/>
        <v>0</v>
      </c>
      <c r="N189" s="43"/>
      <c r="P189" s="303"/>
      <c r="Q189" s="303"/>
      <c r="R189" s="42">
        <f>R190+R193+R196</f>
        <v>0</v>
      </c>
      <c r="S189" s="42">
        <f>S190+S193+S196</f>
        <v>0</v>
      </c>
      <c r="T189" s="217"/>
      <c r="U189" s="42">
        <f>U190+U193+U196</f>
        <v>0</v>
      </c>
      <c r="V189" s="42">
        <f>V190+V193+V196</f>
        <v>0</v>
      </c>
      <c r="W189" s="203"/>
      <c r="X189" s="203"/>
    </row>
    <row r="190" spans="1:24" s="4" customFormat="1" ht="28.5" hidden="1" customHeight="1" x14ac:dyDescent="0.2">
      <c r="A190" s="121" t="s">
        <v>1244</v>
      </c>
      <c r="B190" s="67" t="s">
        <v>969</v>
      </c>
      <c r="C190" s="347" t="s">
        <v>608</v>
      </c>
      <c r="D190" s="347" t="s">
        <v>619</v>
      </c>
      <c r="E190" s="377" t="s">
        <v>1207</v>
      </c>
      <c r="F190" s="377"/>
      <c r="G190" s="42">
        <f t="shared" ref="G190:J191" si="69">G191</f>
        <v>0</v>
      </c>
      <c r="H190" s="42">
        <f t="shared" si="69"/>
        <v>0</v>
      </c>
      <c r="I190" s="42">
        <f t="shared" si="69"/>
        <v>0</v>
      </c>
      <c r="J190" s="42">
        <f t="shared" si="69"/>
        <v>0</v>
      </c>
      <c r="K190" s="292">
        <f t="shared" si="53"/>
        <v>0</v>
      </c>
      <c r="L190" s="292">
        <f t="shared" si="54"/>
        <v>0</v>
      </c>
      <c r="M190" s="217">
        <f t="shared" si="41"/>
        <v>0</v>
      </c>
      <c r="N190" s="43"/>
      <c r="P190" s="303"/>
      <c r="Q190" s="303"/>
      <c r="R190" s="42">
        <f>R191</f>
        <v>0</v>
      </c>
      <c r="S190" s="42">
        <f>S191</f>
        <v>0</v>
      </c>
      <c r="T190" s="217"/>
      <c r="U190" s="42">
        <f>U191</f>
        <v>0</v>
      </c>
      <c r="V190" s="42">
        <f>V191</f>
        <v>0</v>
      </c>
      <c r="W190" s="203"/>
      <c r="X190" s="203"/>
    </row>
    <row r="191" spans="1:24" s="4" customFormat="1" ht="17.25" hidden="1" customHeight="1" x14ac:dyDescent="0.2">
      <c r="A191" s="121" t="s">
        <v>1283</v>
      </c>
      <c r="B191" s="67" t="s">
        <v>969</v>
      </c>
      <c r="C191" s="347" t="s">
        <v>608</v>
      </c>
      <c r="D191" s="347" t="s">
        <v>619</v>
      </c>
      <c r="E191" s="377">
        <v>8900282970</v>
      </c>
      <c r="F191" s="377"/>
      <c r="G191" s="42">
        <f t="shared" si="69"/>
        <v>0</v>
      </c>
      <c r="H191" s="42">
        <f t="shared" si="69"/>
        <v>0</v>
      </c>
      <c r="I191" s="42">
        <f t="shared" si="69"/>
        <v>0</v>
      </c>
      <c r="J191" s="42">
        <f t="shared" si="69"/>
        <v>0</v>
      </c>
      <c r="K191" s="292">
        <f t="shared" si="53"/>
        <v>0</v>
      </c>
      <c r="L191" s="292">
        <f t="shared" si="54"/>
        <v>0</v>
      </c>
      <c r="M191" s="217">
        <f t="shared" si="41"/>
        <v>0</v>
      </c>
      <c r="N191" s="43"/>
      <c r="P191" s="303"/>
      <c r="Q191" s="303"/>
      <c r="R191" s="42">
        <f>R192</f>
        <v>0</v>
      </c>
      <c r="S191" s="42">
        <f>S192</f>
        <v>0</v>
      </c>
      <c r="T191" s="217"/>
      <c r="U191" s="42">
        <f>U192</f>
        <v>0</v>
      </c>
      <c r="V191" s="42">
        <f>V192</f>
        <v>0</v>
      </c>
      <c r="W191" s="203"/>
      <c r="X191" s="203"/>
    </row>
    <row r="192" spans="1:24" s="4" customFormat="1" ht="12.75" hidden="1" customHeight="1" x14ac:dyDescent="0.2">
      <c r="A192" s="124" t="s">
        <v>834</v>
      </c>
      <c r="B192" s="331" t="s">
        <v>969</v>
      </c>
      <c r="C192" s="351" t="s">
        <v>608</v>
      </c>
      <c r="D192" s="351" t="s">
        <v>619</v>
      </c>
      <c r="E192" s="378">
        <v>8900282970</v>
      </c>
      <c r="F192" s="378">
        <v>244</v>
      </c>
      <c r="G192" s="43">
        <v>0</v>
      </c>
      <c r="H192" s="43"/>
      <c r="I192" s="43">
        <v>0</v>
      </c>
      <c r="J192" s="43"/>
      <c r="K192" s="43">
        <f t="shared" si="53"/>
        <v>0</v>
      </c>
      <c r="L192" s="43">
        <f t="shared" si="54"/>
        <v>0</v>
      </c>
      <c r="M192" s="217">
        <f t="shared" si="41"/>
        <v>0</v>
      </c>
      <c r="N192" s="43"/>
      <c r="P192" s="303"/>
      <c r="Q192" s="303"/>
      <c r="R192" s="43">
        <v>0</v>
      </c>
      <c r="S192" s="43"/>
      <c r="T192" s="217"/>
      <c r="U192" s="43">
        <v>0</v>
      </c>
      <c r="V192" s="43"/>
      <c r="W192" s="203"/>
      <c r="X192" s="203"/>
    </row>
    <row r="193" spans="1:24" s="4" customFormat="1" ht="24.75" hidden="1" customHeight="1" x14ac:dyDescent="0.2">
      <c r="A193" s="121" t="s">
        <v>1249</v>
      </c>
      <c r="B193" s="67" t="s">
        <v>969</v>
      </c>
      <c r="C193" s="347" t="s">
        <v>608</v>
      </c>
      <c r="D193" s="347" t="s">
        <v>619</v>
      </c>
      <c r="E193" s="377">
        <v>8900300000</v>
      </c>
      <c r="F193" s="377"/>
      <c r="G193" s="42">
        <f t="shared" ref="G193:J197" si="70">G194</f>
        <v>0</v>
      </c>
      <c r="H193" s="42">
        <f t="shared" si="70"/>
        <v>0</v>
      </c>
      <c r="I193" s="42">
        <f t="shared" si="70"/>
        <v>0</v>
      </c>
      <c r="J193" s="42">
        <f t="shared" si="70"/>
        <v>0</v>
      </c>
      <c r="K193" s="42">
        <f t="shared" si="53"/>
        <v>0</v>
      </c>
      <c r="L193" s="42">
        <f t="shared" si="54"/>
        <v>0</v>
      </c>
      <c r="M193" s="217">
        <f t="shared" si="41"/>
        <v>0</v>
      </c>
      <c r="N193" s="43"/>
      <c r="P193" s="303"/>
      <c r="Q193" s="303"/>
      <c r="R193" s="42">
        <f t="shared" ref="R193:S197" si="71">R194</f>
        <v>0</v>
      </c>
      <c r="S193" s="42">
        <f t="shared" si="71"/>
        <v>0</v>
      </c>
      <c r="T193" s="217"/>
      <c r="U193" s="42">
        <f t="shared" ref="U193:V197" si="72">U194</f>
        <v>0</v>
      </c>
      <c r="V193" s="42">
        <f t="shared" si="72"/>
        <v>0</v>
      </c>
      <c r="W193" s="203"/>
      <c r="X193" s="203"/>
    </row>
    <row r="194" spans="1:24" s="4" customFormat="1" ht="12.75" hidden="1" customHeight="1" x14ac:dyDescent="0.2">
      <c r="A194" s="121" t="s">
        <v>1283</v>
      </c>
      <c r="B194" s="67" t="s">
        <v>969</v>
      </c>
      <c r="C194" s="347" t="s">
        <v>608</v>
      </c>
      <c r="D194" s="347" t="s">
        <v>619</v>
      </c>
      <c r="E194" s="377">
        <v>8900382970</v>
      </c>
      <c r="F194" s="377"/>
      <c r="G194" s="42">
        <f t="shared" si="70"/>
        <v>0</v>
      </c>
      <c r="H194" s="42">
        <f t="shared" si="70"/>
        <v>0</v>
      </c>
      <c r="I194" s="42">
        <f t="shared" si="70"/>
        <v>0</v>
      </c>
      <c r="J194" s="42">
        <f t="shared" si="70"/>
        <v>0</v>
      </c>
      <c r="K194" s="42">
        <f t="shared" si="53"/>
        <v>0</v>
      </c>
      <c r="L194" s="42">
        <f t="shared" si="54"/>
        <v>0</v>
      </c>
      <c r="M194" s="217">
        <f t="shared" si="41"/>
        <v>0</v>
      </c>
      <c r="N194" s="43"/>
      <c r="P194" s="303"/>
      <c r="Q194" s="303"/>
      <c r="R194" s="42">
        <f t="shared" si="71"/>
        <v>0</v>
      </c>
      <c r="S194" s="42">
        <f t="shared" si="71"/>
        <v>0</v>
      </c>
      <c r="T194" s="217"/>
      <c r="U194" s="42">
        <f t="shared" si="72"/>
        <v>0</v>
      </c>
      <c r="V194" s="42">
        <f t="shared" si="72"/>
        <v>0</v>
      </c>
      <c r="W194" s="203"/>
      <c r="X194" s="203"/>
    </row>
    <row r="195" spans="1:24" s="4" customFormat="1" ht="12.75" hidden="1" customHeight="1" x14ac:dyDescent="0.2">
      <c r="A195" s="124" t="s">
        <v>834</v>
      </c>
      <c r="B195" s="331" t="s">
        <v>969</v>
      </c>
      <c r="C195" s="351" t="s">
        <v>608</v>
      </c>
      <c r="D195" s="351" t="s">
        <v>619</v>
      </c>
      <c r="E195" s="378">
        <v>8900382970</v>
      </c>
      <c r="F195" s="378">
        <v>244</v>
      </c>
      <c r="G195" s="43">
        <v>0</v>
      </c>
      <c r="H195" s="43">
        <v>0</v>
      </c>
      <c r="I195" s="43">
        <v>0</v>
      </c>
      <c r="J195" s="43">
        <v>0</v>
      </c>
      <c r="K195" s="43">
        <f t="shared" si="53"/>
        <v>0</v>
      </c>
      <c r="L195" s="43">
        <f t="shared" si="54"/>
        <v>0</v>
      </c>
      <c r="M195" s="217">
        <f t="shared" si="41"/>
        <v>0</v>
      </c>
      <c r="N195" s="43"/>
      <c r="P195" s="303"/>
      <c r="Q195" s="303"/>
      <c r="R195" s="43">
        <v>0</v>
      </c>
      <c r="S195" s="43">
        <v>0</v>
      </c>
      <c r="T195" s="217"/>
      <c r="U195" s="43">
        <v>0</v>
      </c>
      <c r="V195" s="43">
        <v>0</v>
      </c>
      <c r="W195" s="203"/>
      <c r="X195" s="203"/>
    </row>
    <row r="196" spans="1:24" s="4" customFormat="1" ht="18.75" hidden="1" customHeight="1" x14ac:dyDescent="0.2">
      <c r="A196" s="121" t="s">
        <v>1284</v>
      </c>
      <c r="B196" s="67" t="s">
        <v>969</v>
      </c>
      <c r="C196" s="347" t="s">
        <v>608</v>
      </c>
      <c r="D196" s="347" t="s">
        <v>619</v>
      </c>
      <c r="E196" s="377">
        <v>8900500000</v>
      </c>
      <c r="F196" s="377"/>
      <c r="G196" s="42">
        <f t="shared" si="70"/>
        <v>0</v>
      </c>
      <c r="H196" s="42">
        <f t="shared" si="70"/>
        <v>0</v>
      </c>
      <c r="I196" s="42">
        <f t="shared" si="70"/>
        <v>0</v>
      </c>
      <c r="J196" s="42">
        <f t="shared" si="70"/>
        <v>0</v>
      </c>
      <c r="K196" s="292">
        <f t="shared" si="53"/>
        <v>0</v>
      </c>
      <c r="L196" s="292">
        <f t="shared" si="54"/>
        <v>0</v>
      </c>
      <c r="M196" s="217">
        <f t="shared" si="41"/>
        <v>0</v>
      </c>
      <c r="N196" s="43"/>
      <c r="P196" s="303"/>
      <c r="Q196" s="303"/>
      <c r="R196" s="42">
        <f t="shared" si="71"/>
        <v>0</v>
      </c>
      <c r="S196" s="42">
        <f t="shared" si="71"/>
        <v>0</v>
      </c>
      <c r="T196" s="217"/>
      <c r="U196" s="42">
        <f t="shared" si="72"/>
        <v>0</v>
      </c>
      <c r="V196" s="42">
        <f t="shared" si="72"/>
        <v>0</v>
      </c>
      <c r="W196" s="203"/>
      <c r="X196" s="203"/>
    </row>
    <row r="197" spans="1:24" s="4" customFormat="1" ht="12.75" hidden="1" customHeight="1" x14ac:dyDescent="0.2">
      <c r="A197" s="121" t="s">
        <v>1285</v>
      </c>
      <c r="B197" s="67" t="s">
        <v>969</v>
      </c>
      <c r="C197" s="347" t="s">
        <v>608</v>
      </c>
      <c r="D197" s="347" t="s">
        <v>619</v>
      </c>
      <c r="E197" s="377" t="s">
        <v>1286</v>
      </c>
      <c r="F197" s="377"/>
      <c r="G197" s="42">
        <f t="shared" si="70"/>
        <v>0</v>
      </c>
      <c r="H197" s="42">
        <f t="shared" si="70"/>
        <v>0</v>
      </c>
      <c r="I197" s="42">
        <f t="shared" si="70"/>
        <v>0</v>
      </c>
      <c r="J197" s="42">
        <f t="shared" si="70"/>
        <v>0</v>
      </c>
      <c r="K197" s="292">
        <f t="shared" si="53"/>
        <v>0</v>
      </c>
      <c r="L197" s="292">
        <f t="shared" si="54"/>
        <v>0</v>
      </c>
      <c r="M197" s="217">
        <f t="shared" si="41"/>
        <v>0</v>
      </c>
      <c r="N197" s="43"/>
      <c r="P197" s="303"/>
      <c r="Q197" s="303"/>
      <c r="R197" s="42">
        <f t="shared" si="71"/>
        <v>0</v>
      </c>
      <c r="S197" s="42">
        <f t="shared" si="71"/>
        <v>0</v>
      </c>
      <c r="T197" s="217"/>
      <c r="U197" s="42">
        <f t="shared" si="72"/>
        <v>0</v>
      </c>
      <c r="V197" s="42">
        <f t="shared" si="72"/>
        <v>0</v>
      </c>
      <c r="W197" s="203"/>
      <c r="X197" s="203"/>
    </row>
    <row r="198" spans="1:24" s="4" customFormat="1" ht="12.75" hidden="1" customHeight="1" x14ac:dyDescent="0.2">
      <c r="A198" s="124" t="s">
        <v>834</v>
      </c>
      <c r="B198" s="331" t="s">
        <v>969</v>
      </c>
      <c r="C198" s="351" t="s">
        <v>608</v>
      </c>
      <c r="D198" s="351" t="s">
        <v>619</v>
      </c>
      <c r="E198" s="378" t="s">
        <v>1286</v>
      </c>
      <c r="F198" s="378">
        <v>244</v>
      </c>
      <c r="G198" s="43"/>
      <c r="H198" s="43">
        <v>0</v>
      </c>
      <c r="I198" s="43"/>
      <c r="J198" s="43">
        <v>0</v>
      </c>
      <c r="K198" s="43">
        <f t="shared" si="53"/>
        <v>0</v>
      </c>
      <c r="L198" s="43">
        <f t="shared" si="54"/>
        <v>0</v>
      </c>
      <c r="M198" s="217">
        <f t="shared" ref="M198:M274" si="73">I198-G198-K198</f>
        <v>0</v>
      </c>
      <c r="N198" s="43"/>
      <c r="P198" s="444"/>
      <c r="Q198" s="444"/>
      <c r="R198" s="43"/>
      <c r="S198" s="43"/>
      <c r="T198" s="217"/>
      <c r="U198" s="43"/>
      <c r="V198" s="43"/>
      <c r="W198" s="203"/>
      <c r="X198" s="203"/>
    </row>
    <row r="199" spans="1:24" s="4" customFormat="1" ht="12.75" hidden="1" customHeight="1" x14ac:dyDescent="0.2">
      <c r="A199" s="541" t="s">
        <v>255</v>
      </c>
      <c r="B199" s="546" t="s">
        <v>969</v>
      </c>
      <c r="C199" s="350" t="s">
        <v>609</v>
      </c>
      <c r="D199" s="350"/>
      <c r="E199" s="377"/>
      <c r="F199" s="377"/>
      <c r="G199" s="42">
        <f>G200</f>
        <v>0</v>
      </c>
      <c r="H199" s="42"/>
      <c r="I199" s="42">
        <f>I200</f>
        <v>0</v>
      </c>
      <c r="J199" s="42"/>
      <c r="K199" s="43">
        <f t="shared" si="53"/>
        <v>0</v>
      </c>
      <c r="L199" s="43">
        <f t="shared" si="54"/>
        <v>0</v>
      </c>
      <c r="M199" s="217"/>
      <c r="N199" s="43"/>
      <c r="P199" s="444"/>
      <c r="Q199" s="444"/>
      <c r="R199" s="42">
        <f>R200</f>
        <v>0</v>
      </c>
      <c r="S199" s="42"/>
      <c r="T199" s="217"/>
      <c r="U199" s="43"/>
      <c r="V199" s="43"/>
      <c r="W199" s="203"/>
      <c r="X199" s="203"/>
    </row>
    <row r="200" spans="1:24" s="4" customFormat="1" ht="12.75" hidden="1" customHeight="1" x14ac:dyDescent="0.2">
      <c r="A200" s="548" t="s">
        <v>153</v>
      </c>
      <c r="B200" s="546" t="s">
        <v>969</v>
      </c>
      <c r="C200" s="350" t="s">
        <v>609</v>
      </c>
      <c r="D200" s="350" t="s">
        <v>606</v>
      </c>
      <c r="E200" s="377"/>
      <c r="F200" s="377"/>
      <c r="G200" s="42">
        <f>G201</f>
        <v>0</v>
      </c>
      <c r="H200" s="42"/>
      <c r="I200" s="42">
        <f>I201</f>
        <v>0</v>
      </c>
      <c r="J200" s="42"/>
      <c r="K200" s="43">
        <f t="shared" si="53"/>
        <v>0</v>
      </c>
      <c r="L200" s="43">
        <f t="shared" si="54"/>
        <v>0</v>
      </c>
      <c r="M200" s="217"/>
      <c r="N200" s="43"/>
      <c r="P200" s="444"/>
      <c r="Q200" s="444"/>
      <c r="R200" s="42">
        <f>R201</f>
        <v>0</v>
      </c>
      <c r="S200" s="42"/>
      <c r="T200" s="217"/>
      <c r="U200" s="43"/>
      <c r="V200" s="43"/>
      <c r="W200" s="203"/>
      <c r="X200" s="203"/>
    </row>
    <row r="201" spans="1:24" s="4" customFormat="1" ht="27.75" hidden="1" customHeight="1" x14ac:dyDescent="0.2">
      <c r="A201" s="121" t="s">
        <v>1205</v>
      </c>
      <c r="B201" s="67" t="s">
        <v>969</v>
      </c>
      <c r="C201" s="347" t="s">
        <v>609</v>
      </c>
      <c r="D201" s="347" t="s">
        <v>606</v>
      </c>
      <c r="E201" s="377" t="s">
        <v>1206</v>
      </c>
      <c r="F201" s="377"/>
      <c r="G201" s="42">
        <f>G205+G202</f>
        <v>0</v>
      </c>
      <c r="H201" s="42">
        <f>H205+H202</f>
        <v>0</v>
      </c>
      <c r="I201" s="42">
        <f>I205+I202</f>
        <v>0</v>
      </c>
      <c r="J201" s="42">
        <f>J205+J202</f>
        <v>0</v>
      </c>
      <c r="K201" s="43">
        <f t="shared" si="53"/>
        <v>0</v>
      </c>
      <c r="L201" s="43">
        <f t="shared" si="54"/>
        <v>0</v>
      </c>
      <c r="M201" s="217"/>
      <c r="N201" s="43"/>
      <c r="P201" s="444"/>
      <c r="Q201" s="444"/>
      <c r="R201" s="42">
        <f>R205+R202</f>
        <v>0</v>
      </c>
      <c r="S201" s="42">
        <f>S205+S202</f>
        <v>0</v>
      </c>
      <c r="T201" s="217"/>
      <c r="U201" s="43"/>
      <c r="V201" s="43"/>
      <c r="W201" s="203"/>
      <c r="X201" s="203"/>
    </row>
    <row r="202" spans="1:24" s="4" customFormat="1" ht="12.75" hidden="1" customHeight="1" x14ac:dyDescent="0.2">
      <c r="A202" s="121" t="s">
        <v>1244</v>
      </c>
      <c r="B202" s="67" t="s">
        <v>969</v>
      </c>
      <c r="C202" s="347" t="s">
        <v>609</v>
      </c>
      <c r="D202" s="347" t="s">
        <v>606</v>
      </c>
      <c r="E202" s="377">
        <v>8900200000</v>
      </c>
      <c r="F202" s="377"/>
      <c r="G202" s="42">
        <f t="shared" ref="G202:J203" si="74">G203</f>
        <v>0</v>
      </c>
      <c r="H202" s="42">
        <f t="shared" si="74"/>
        <v>0</v>
      </c>
      <c r="I202" s="42">
        <f t="shared" si="74"/>
        <v>0</v>
      </c>
      <c r="J202" s="42">
        <f t="shared" si="74"/>
        <v>0</v>
      </c>
      <c r="K202" s="43">
        <f t="shared" si="53"/>
        <v>0</v>
      </c>
      <c r="L202" s="43">
        <f t="shared" si="54"/>
        <v>0</v>
      </c>
      <c r="M202" s="217"/>
      <c r="N202" s="43"/>
      <c r="P202" s="444"/>
      <c r="Q202" s="444"/>
      <c r="R202" s="42">
        <f>R203</f>
        <v>0</v>
      </c>
      <c r="S202" s="42">
        <f>S203</f>
        <v>0</v>
      </c>
      <c r="T202" s="217"/>
      <c r="U202" s="43"/>
      <c r="V202" s="43"/>
      <c r="W202" s="203"/>
      <c r="X202" s="203"/>
    </row>
    <row r="203" spans="1:24" s="4" customFormat="1" ht="12.75" hidden="1" customHeight="1" x14ac:dyDescent="0.2">
      <c r="A203" s="121" t="s">
        <v>1285</v>
      </c>
      <c r="B203" s="67" t="s">
        <v>969</v>
      </c>
      <c r="C203" s="347" t="s">
        <v>609</v>
      </c>
      <c r="D203" s="347" t="s">
        <v>606</v>
      </c>
      <c r="E203" s="377" t="s">
        <v>1378</v>
      </c>
      <c r="F203" s="377"/>
      <c r="G203" s="42">
        <f t="shared" si="74"/>
        <v>0</v>
      </c>
      <c r="H203" s="42">
        <f t="shared" si="74"/>
        <v>0</v>
      </c>
      <c r="I203" s="42">
        <f t="shared" si="74"/>
        <v>0</v>
      </c>
      <c r="J203" s="42">
        <f t="shared" si="74"/>
        <v>0</v>
      </c>
      <c r="K203" s="43">
        <f t="shared" si="53"/>
        <v>0</v>
      </c>
      <c r="L203" s="43">
        <f t="shared" si="54"/>
        <v>0</v>
      </c>
      <c r="M203" s="217"/>
      <c r="N203" s="43"/>
      <c r="P203" s="444"/>
      <c r="Q203" s="444"/>
      <c r="R203" s="42">
        <f>R204</f>
        <v>0</v>
      </c>
      <c r="S203" s="42">
        <f>S204</f>
        <v>0</v>
      </c>
      <c r="T203" s="217"/>
      <c r="U203" s="43"/>
      <c r="V203" s="43"/>
      <c r="W203" s="203"/>
      <c r="X203" s="203"/>
    </row>
    <row r="204" spans="1:24" s="4" customFormat="1" ht="12.75" hidden="1" customHeight="1" x14ac:dyDescent="0.2">
      <c r="A204" s="124" t="s">
        <v>834</v>
      </c>
      <c r="B204" s="331" t="s">
        <v>969</v>
      </c>
      <c r="C204" s="351" t="s">
        <v>609</v>
      </c>
      <c r="D204" s="351" t="s">
        <v>606</v>
      </c>
      <c r="E204" s="378" t="s">
        <v>1378</v>
      </c>
      <c r="F204" s="378">
        <v>244</v>
      </c>
      <c r="G204" s="547"/>
      <c r="H204" s="255"/>
      <c r="I204" s="547"/>
      <c r="J204" s="255"/>
      <c r="K204" s="43">
        <f t="shared" si="53"/>
        <v>0</v>
      </c>
      <c r="L204" s="43">
        <f t="shared" si="54"/>
        <v>0</v>
      </c>
      <c r="M204" s="217"/>
      <c r="N204" s="43"/>
      <c r="P204" s="444"/>
      <c r="Q204" s="444"/>
      <c r="R204" s="547"/>
      <c r="S204" s="255"/>
      <c r="T204" s="217"/>
      <c r="U204" s="43"/>
      <c r="V204" s="43"/>
      <c r="W204" s="203"/>
      <c r="X204" s="203"/>
    </row>
    <row r="205" spans="1:24" ht="15" hidden="1" customHeight="1" x14ac:dyDescent="0.2">
      <c r="A205" s="294" t="s">
        <v>121</v>
      </c>
      <c r="B205" s="67" t="s">
        <v>969</v>
      </c>
      <c r="C205" s="347" t="s">
        <v>27</v>
      </c>
      <c r="D205" s="347"/>
      <c r="E205" s="377"/>
      <c r="F205" s="377"/>
      <c r="G205" s="42">
        <f t="shared" ref="G205:J208" si="75">G206</f>
        <v>0</v>
      </c>
      <c r="H205" s="42">
        <f t="shared" si="75"/>
        <v>0</v>
      </c>
      <c r="I205" s="42">
        <f t="shared" si="75"/>
        <v>0</v>
      </c>
      <c r="J205" s="42">
        <f t="shared" si="75"/>
        <v>0</v>
      </c>
      <c r="K205" s="42">
        <f t="shared" si="53"/>
        <v>0</v>
      </c>
      <c r="L205" s="42">
        <f t="shared" si="54"/>
        <v>0</v>
      </c>
      <c r="M205" s="217">
        <f t="shared" si="73"/>
        <v>0</v>
      </c>
      <c r="N205" s="43"/>
      <c r="P205" s="299"/>
      <c r="Q205" s="299"/>
      <c r="R205" s="42">
        <f t="shared" ref="R205:S208" si="76">R206</f>
        <v>0</v>
      </c>
      <c r="S205" s="42">
        <f t="shared" si="76"/>
        <v>0</v>
      </c>
      <c r="T205" s="217">
        <f t="shared" ref="T205:T211" si="77">I205-G205</f>
        <v>0</v>
      </c>
      <c r="U205" s="42">
        <f t="shared" ref="U205:V208" si="78">U206</f>
        <v>0</v>
      </c>
      <c r="V205" s="42">
        <f t="shared" si="78"/>
        <v>0</v>
      </c>
      <c r="W205" s="203">
        <f t="shared" si="47"/>
        <v>0</v>
      </c>
      <c r="X205" s="203">
        <f t="shared" si="48"/>
        <v>0</v>
      </c>
    </row>
    <row r="206" spans="1:24" ht="15" hidden="1" customHeight="1" x14ac:dyDescent="0.2">
      <c r="A206" s="294" t="s">
        <v>16</v>
      </c>
      <c r="B206" s="67" t="s">
        <v>969</v>
      </c>
      <c r="C206" s="347" t="s">
        <v>27</v>
      </c>
      <c r="D206" s="347" t="s">
        <v>606</v>
      </c>
      <c r="E206" s="377"/>
      <c r="F206" s="377"/>
      <c r="G206" s="42">
        <f t="shared" si="75"/>
        <v>0</v>
      </c>
      <c r="H206" s="42">
        <f t="shared" si="75"/>
        <v>0</v>
      </c>
      <c r="I206" s="42">
        <f t="shared" si="75"/>
        <v>0</v>
      </c>
      <c r="J206" s="42">
        <f t="shared" si="75"/>
        <v>0</v>
      </c>
      <c r="K206" s="42">
        <f t="shared" si="53"/>
        <v>0</v>
      </c>
      <c r="L206" s="42">
        <f t="shared" si="54"/>
        <v>0</v>
      </c>
      <c r="M206" s="217">
        <f t="shared" si="73"/>
        <v>0</v>
      </c>
      <c r="N206" s="43"/>
      <c r="R206" s="42">
        <f t="shared" si="76"/>
        <v>0</v>
      </c>
      <c r="S206" s="42">
        <f t="shared" si="76"/>
        <v>0</v>
      </c>
      <c r="T206" s="217">
        <f t="shared" si="77"/>
        <v>0</v>
      </c>
      <c r="U206" s="42">
        <f t="shared" si="78"/>
        <v>0</v>
      </c>
      <c r="V206" s="42">
        <f t="shared" si="78"/>
        <v>0</v>
      </c>
      <c r="W206" s="203">
        <f t="shared" si="47"/>
        <v>0</v>
      </c>
      <c r="X206" s="203">
        <f t="shared" si="48"/>
        <v>0</v>
      </c>
    </row>
    <row r="207" spans="1:24" ht="15" hidden="1" customHeight="1" x14ac:dyDescent="0.2">
      <c r="A207" s="294" t="s">
        <v>65</v>
      </c>
      <c r="B207" s="67" t="s">
        <v>969</v>
      </c>
      <c r="C207" s="347" t="s">
        <v>27</v>
      </c>
      <c r="D207" s="347" t="s">
        <v>606</v>
      </c>
      <c r="E207" s="377" t="s">
        <v>312</v>
      </c>
      <c r="F207" s="377"/>
      <c r="G207" s="42">
        <f t="shared" si="75"/>
        <v>0</v>
      </c>
      <c r="H207" s="42">
        <f t="shared" si="75"/>
        <v>0</v>
      </c>
      <c r="I207" s="42">
        <f t="shared" si="75"/>
        <v>0</v>
      </c>
      <c r="J207" s="42">
        <f t="shared" si="75"/>
        <v>0</v>
      </c>
      <c r="K207" s="42">
        <f t="shared" si="53"/>
        <v>0</v>
      </c>
      <c r="L207" s="42">
        <f t="shared" si="54"/>
        <v>0</v>
      </c>
      <c r="M207" s="217">
        <f t="shared" si="73"/>
        <v>0</v>
      </c>
      <c r="N207" s="43"/>
      <c r="R207" s="42">
        <f t="shared" si="76"/>
        <v>0</v>
      </c>
      <c r="S207" s="42">
        <f t="shared" si="76"/>
        <v>0</v>
      </c>
      <c r="T207" s="217">
        <f t="shared" si="77"/>
        <v>0</v>
      </c>
      <c r="U207" s="42">
        <f t="shared" si="78"/>
        <v>0</v>
      </c>
      <c r="V207" s="42">
        <f t="shared" si="78"/>
        <v>0</v>
      </c>
      <c r="W207" s="203">
        <f t="shared" si="47"/>
        <v>0</v>
      </c>
      <c r="X207" s="203">
        <f t="shared" si="48"/>
        <v>0</v>
      </c>
    </row>
    <row r="208" spans="1:24" ht="15" hidden="1" customHeight="1" x14ac:dyDescent="0.2">
      <c r="A208" s="286" t="s">
        <v>846</v>
      </c>
      <c r="B208" s="67" t="s">
        <v>969</v>
      </c>
      <c r="C208" s="347" t="s">
        <v>27</v>
      </c>
      <c r="D208" s="347" t="s">
        <v>606</v>
      </c>
      <c r="E208" s="377" t="s">
        <v>845</v>
      </c>
      <c r="F208" s="377"/>
      <c r="G208" s="42">
        <f t="shared" si="75"/>
        <v>0</v>
      </c>
      <c r="H208" s="42">
        <f t="shared" si="75"/>
        <v>0</v>
      </c>
      <c r="I208" s="42">
        <f t="shared" si="75"/>
        <v>0</v>
      </c>
      <c r="J208" s="42">
        <f t="shared" si="75"/>
        <v>0</v>
      </c>
      <c r="K208" s="42">
        <f t="shared" si="53"/>
        <v>0</v>
      </c>
      <c r="L208" s="42">
        <f t="shared" si="54"/>
        <v>0</v>
      </c>
      <c r="M208" s="217">
        <f t="shared" si="73"/>
        <v>0</v>
      </c>
      <c r="N208" s="43"/>
      <c r="R208" s="42">
        <f t="shared" si="76"/>
        <v>0</v>
      </c>
      <c r="S208" s="42">
        <f t="shared" si="76"/>
        <v>0</v>
      </c>
      <c r="T208" s="217">
        <f t="shared" si="77"/>
        <v>0</v>
      </c>
      <c r="U208" s="42">
        <f t="shared" si="78"/>
        <v>0</v>
      </c>
      <c r="V208" s="42">
        <f t="shared" si="78"/>
        <v>0</v>
      </c>
      <c r="W208" s="203">
        <f t="shared" si="47"/>
        <v>0</v>
      </c>
      <c r="X208" s="203">
        <f t="shared" si="48"/>
        <v>0</v>
      </c>
    </row>
    <row r="209" spans="1:24" ht="15" hidden="1" customHeight="1" x14ac:dyDescent="0.2">
      <c r="A209" s="287" t="s">
        <v>575</v>
      </c>
      <c r="B209" s="68" t="s">
        <v>969</v>
      </c>
      <c r="C209" s="352" t="s">
        <v>27</v>
      </c>
      <c r="D209" s="352" t="s">
        <v>606</v>
      </c>
      <c r="E209" s="378" t="s">
        <v>845</v>
      </c>
      <c r="F209" s="378" t="s">
        <v>576</v>
      </c>
      <c r="G209" s="43"/>
      <c r="H209" s="43"/>
      <c r="I209" s="43"/>
      <c r="J209" s="43"/>
      <c r="K209" s="43">
        <f t="shared" si="53"/>
        <v>0</v>
      </c>
      <c r="L209" s="43">
        <f t="shared" si="54"/>
        <v>0</v>
      </c>
      <c r="M209" s="217">
        <f t="shared" si="73"/>
        <v>0</v>
      </c>
      <c r="N209" s="43"/>
      <c r="R209" s="43"/>
      <c r="S209" s="43"/>
      <c r="T209" s="217">
        <f t="shared" si="77"/>
        <v>0</v>
      </c>
      <c r="U209" s="43"/>
      <c r="V209" s="43"/>
      <c r="W209" s="203">
        <f t="shared" si="47"/>
        <v>0</v>
      </c>
      <c r="X209" s="203">
        <f t="shared" si="48"/>
        <v>0</v>
      </c>
    </row>
    <row r="210" spans="1:24" ht="12.75" hidden="1" customHeight="1" x14ac:dyDescent="0.2">
      <c r="A210" s="118" t="s">
        <v>838</v>
      </c>
      <c r="B210" s="67" t="s">
        <v>969</v>
      </c>
      <c r="C210" s="347" t="s">
        <v>621</v>
      </c>
      <c r="D210" s="347"/>
      <c r="E210" s="377"/>
      <c r="F210" s="377"/>
      <c r="G210" s="42">
        <f>G211</f>
        <v>0</v>
      </c>
      <c r="H210" s="42">
        <f>H211</f>
        <v>0</v>
      </c>
      <c r="I210" s="42">
        <f>I211</f>
        <v>0</v>
      </c>
      <c r="J210" s="42">
        <f>J211</f>
        <v>0</v>
      </c>
      <c r="K210" s="42">
        <f t="shared" si="53"/>
        <v>0</v>
      </c>
      <c r="L210" s="42">
        <f t="shared" si="54"/>
        <v>0</v>
      </c>
      <c r="M210" s="217">
        <f t="shared" si="73"/>
        <v>0</v>
      </c>
      <c r="N210" s="42">
        <f>N211</f>
        <v>0</v>
      </c>
      <c r="R210" s="42">
        <f>R211</f>
        <v>6927.0636999999997</v>
      </c>
      <c r="S210" s="42">
        <f>S211</f>
        <v>0</v>
      </c>
      <c r="T210" s="217">
        <f t="shared" si="77"/>
        <v>0</v>
      </c>
      <c r="U210" s="42">
        <f>U211</f>
        <v>1811.07</v>
      </c>
      <c r="V210" s="42">
        <f>V211</f>
        <v>1656.5253600000001</v>
      </c>
      <c r="W210" s="203">
        <f t="shared" si="47"/>
        <v>0</v>
      </c>
      <c r="X210" s="203">
        <f t="shared" si="48"/>
        <v>0</v>
      </c>
    </row>
    <row r="211" spans="1:24" ht="12.75" hidden="1" customHeight="1" x14ac:dyDescent="0.2">
      <c r="A211" s="118" t="s">
        <v>11</v>
      </c>
      <c r="B211" s="67" t="s">
        <v>969</v>
      </c>
      <c r="C211" s="347" t="s">
        <v>621</v>
      </c>
      <c r="D211" s="347" t="s">
        <v>606</v>
      </c>
      <c r="E211" s="377"/>
      <c r="F211" s="377"/>
      <c r="G211" s="42">
        <f>G219+G212</f>
        <v>0</v>
      </c>
      <c r="H211" s="42">
        <f>H219+H212</f>
        <v>0</v>
      </c>
      <c r="I211" s="42">
        <f>I219+I212</f>
        <v>0</v>
      </c>
      <c r="J211" s="42">
        <f>J219+J212</f>
        <v>0</v>
      </c>
      <c r="K211" s="42">
        <f t="shared" si="53"/>
        <v>0</v>
      </c>
      <c r="L211" s="42">
        <f t="shared" si="54"/>
        <v>0</v>
      </c>
      <c r="M211" s="217">
        <f t="shared" si="73"/>
        <v>0</v>
      </c>
      <c r="N211" s="42">
        <f>N251</f>
        <v>0</v>
      </c>
      <c r="R211" s="42">
        <f>R219+R212</f>
        <v>6927.0636999999997</v>
      </c>
      <c r="S211" s="42">
        <f>S219+S212</f>
        <v>0</v>
      </c>
      <c r="T211" s="217">
        <f t="shared" si="77"/>
        <v>0</v>
      </c>
      <c r="U211" s="42">
        <f>U219+U212</f>
        <v>1811.07</v>
      </c>
      <c r="V211" s="42">
        <f>V219+V212</f>
        <v>1656.5253600000001</v>
      </c>
      <c r="W211" s="203">
        <f t="shared" si="47"/>
        <v>0</v>
      </c>
      <c r="X211" s="203">
        <f t="shared" si="48"/>
        <v>0</v>
      </c>
    </row>
    <row r="212" spans="1:24" s="4" customFormat="1" ht="25.5" hidden="1" customHeight="1" x14ac:dyDescent="0.2">
      <c r="A212" s="121" t="s">
        <v>1205</v>
      </c>
      <c r="B212" s="67" t="s">
        <v>969</v>
      </c>
      <c r="C212" s="347" t="s">
        <v>621</v>
      </c>
      <c r="D212" s="347" t="s">
        <v>606</v>
      </c>
      <c r="E212" s="377" t="s">
        <v>1206</v>
      </c>
      <c r="F212" s="377"/>
      <c r="G212" s="42">
        <f>G216+G213</f>
        <v>0</v>
      </c>
      <c r="H212" s="42">
        <f>H216+H213</f>
        <v>0</v>
      </c>
      <c r="I212" s="42">
        <f>I216+I213</f>
        <v>0</v>
      </c>
      <c r="J212" s="42">
        <f>J216+J213</f>
        <v>0</v>
      </c>
      <c r="K212" s="42">
        <f t="shared" si="53"/>
        <v>0</v>
      </c>
      <c r="L212" s="42">
        <f t="shared" si="54"/>
        <v>0</v>
      </c>
      <c r="M212" s="217">
        <f t="shared" si="73"/>
        <v>0</v>
      </c>
      <c r="N212" s="43"/>
      <c r="P212" s="301"/>
      <c r="Q212" s="301"/>
      <c r="R212" s="42">
        <f>R216+R213</f>
        <v>0</v>
      </c>
      <c r="S212" s="42">
        <f>S216+S213</f>
        <v>0</v>
      </c>
      <c r="T212" s="217"/>
      <c r="U212" s="42">
        <f>U216+U213</f>
        <v>1811.07</v>
      </c>
      <c r="V212" s="42">
        <f>V216+V213</f>
        <v>1656.5253600000001</v>
      </c>
      <c r="W212" s="203">
        <f t="shared" si="47"/>
        <v>0</v>
      </c>
      <c r="X212" s="203">
        <f t="shared" si="48"/>
        <v>0</v>
      </c>
    </row>
    <row r="213" spans="1:24" s="4" customFormat="1" ht="25.5" hidden="1" customHeight="1" x14ac:dyDescent="0.2">
      <c r="A213" s="121" t="s">
        <v>1244</v>
      </c>
      <c r="B213" s="67" t="s">
        <v>969</v>
      </c>
      <c r="C213" s="347" t="s">
        <v>621</v>
      </c>
      <c r="D213" s="347" t="s">
        <v>606</v>
      </c>
      <c r="E213" s="377">
        <v>8900200000</v>
      </c>
      <c r="F213" s="377"/>
      <c r="G213" s="42">
        <f>G214</f>
        <v>0</v>
      </c>
      <c r="H213" s="42">
        <f t="shared" ref="G213:J214" si="79">H214</f>
        <v>0</v>
      </c>
      <c r="I213" s="42">
        <f>I214</f>
        <v>0</v>
      </c>
      <c r="J213" s="42">
        <f t="shared" si="79"/>
        <v>0</v>
      </c>
      <c r="K213" s="42">
        <f t="shared" si="53"/>
        <v>0</v>
      </c>
      <c r="L213" s="42">
        <f t="shared" si="54"/>
        <v>0</v>
      </c>
      <c r="M213" s="217">
        <f t="shared" si="73"/>
        <v>0</v>
      </c>
      <c r="N213" s="43"/>
      <c r="P213" s="301"/>
      <c r="Q213" s="301"/>
      <c r="R213" s="42">
        <f>R214</f>
        <v>0</v>
      </c>
      <c r="S213" s="42">
        <f>S214</f>
        <v>0</v>
      </c>
      <c r="T213" s="217"/>
      <c r="U213" s="42">
        <f>U214</f>
        <v>1811.07</v>
      </c>
      <c r="V213" s="42">
        <f>V214</f>
        <v>1656.5253600000001</v>
      </c>
      <c r="W213" s="203"/>
      <c r="X213" s="203"/>
    </row>
    <row r="214" spans="1:24" s="4" customFormat="1" ht="14.25" hidden="1" customHeight="1" x14ac:dyDescent="0.2">
      <c r="A214" s="121" t="s">
        <v>1285</v>
      </c>
      <c r="B214" s="67" t="s">
        <v>969</v>
      </c>
      <c r="C214" s="347" t="s">
        <v>621</v>
      </c>
      <c r="D214" s="347" t="s">
        <v>606</v>
      </c>
      <c r="E214" s="377" t="s">
        <v>1378</v>
      </c>
      <c r="F214" s="377"/>
      <c r="G214" s="42">
        <f t="shared" si="79"/>
        <v>0</v>
      </c>
      <c r="H214" s="42">
        <f t="shared" si="79"/>
        <v>0</v>
      </c>
      <c r="I214" s="42">
        <f t="shared" si="79"/>
        <v>0</v>
      </c>
      <c r="J214" s="42">
        <f t="shared" si="79"/>
        <v>0</v>
      </c>
      <c r="K214" s="42">
        <f t="shared" si="53"/>
        <v>0</v>
      </c>
      <c r="L214" s="42">
        <f t="shared" si="54"/>
        <v>0</v>
      </c>
      <c r="M214" s="217">
        <f t="shared" si="73"/>
        <v>0</v>
      </c>
      <c r="N214" s="43"/>
      <c r="P214" s="301"/>
      <c r="Q214" s="301"/>
      <c r="R214" s="42">
        <f>R215</f>
        <v>0</v>
      </c>
      <c r="S214" s="42">
        <f>S215</f>
        <v>0</v>
      </c>
      <c r="T214" s="217"/>
      <c r="U214" s="42">
        <f>U215</f>
        <v>1811.07</v>
      </c>
      <c r="V214" s="42">
        <f>V215</f>
        <v>1656.5253600000001</v>
      </c>
      <c r="W214" s="203"/>
      <c r="X214" s="203"/>
    </row>
    <row r="215" spans="1:24" s="4" customFormat="1" ht="15" hidden="1" customHeight="1" x14ac:dyDescent="0.2">
      <c r="A215" s="120" t="s">
        <v>164</v>
      </c>
      <c r="B215" s="331" t="s">
        <v>969</v>
      </c>
      <c r="C215" s="351" t="s">
        <v>621</v>
      </c>
      <c r="D215" s="351" t="s">
        <v>606</v>
      </c>
      <c r="E215" s="378" t="s">
        <v>1378</v>
      </c>
      <c r="F215" s="378" t="s">
        <v>132</v>
      </c>
      <c r="G215" s="547"/>
      <c r="H215" s="255"/>
      <c r="I215" s="547"/>
      <c r="J215" s="255"/>
      <c r="K215" s="43">
        <f t="shared" si="53"/>
        <v>0</v>
      </c>
      <c r="L215" s="43">
        <f t="shared" si="54"/>
        <v>0</v>
      </c>
      <c r="M215" s="217">
        <f t="shared" si="73"/>
        <v>0</v>
      </c>
      <c r="N215" s="43"/>
      <c r="P215" s="301"/>
      <c r="Q215" s="301"/>
      <c r="R215" s="547"/>
      <c r="S215" s="255"/>
      <c r="T215" s="217"/>
      <c r="U215" s="43">
        <v>1811.07</v>
      </c>
      <c r="V215" s="255">
        <v>1656.5253600000001</v>
      </c>
      <c r="W215" s="203"/>
      <c r="X215" s="203"/>
    </row>
    <row r="216" spans="1:24" s="4" customFormat="1" ht="16.5" hidden="1" customHeight="1" x14ac:dyDescent="0.2">
      <c r="A216" s="121" t="s">
        <v>1284</v>
      </c>
      <c r="B216" s="67" t="s">
        <v>969</v>
      </c>
      <c r="C216" s="347" t="s">
        <v>621</v>
      </c>
      <c r="D216" s="347" t="s">
        <v>606</v>
      </c>
      <c r="E216" s="377">
        <v>8900500000</v>
      </c>
      <c r="F216" s="377"/>
      <c r="G216" s="42">
        <f t="shared" ref="G216:J217" si="80">G217</f>
        <v>0</v>
      </c>
      <c r="H216" s="42">
        <f t="shared" si="80"/>
        <v>0</v>
      </c>
      <c r="I216" s="42">
        <f t="shared" si="80"/>
        <v>0</v>
      </c>
      <c r="J216" s="42">
        <f t="shared" si="80"/>
        <v>0</v>
      </c>
      <c r="K216" s="42">
        <f t="shared" si="53"/>
        <v>0</v>
      </c>
      <c r="L216" s="42">
        <f t="shared" si="54"/>
        <v>0</v>
      </c>
      <c r="M216" s="217">
        <f t="shared" si="73"/>
        <v>0</v>
      </c>
      <c r="N216" s="43"/>
      <c r="P216" s="301"/>
      <c r="Q216" s="301"/>
      <c r="R216" s="42">
        <f>R217</f>
        <v>0</v>
      </c>
      <c r="S216" s="42">
        <f>S217</f>
        <v>0</v>
      </c>
      <c r="T216" s="217"/>
      <c r="U216" s="42">
        <f>U217</f>
        <v>0</v>
      </c>
      <c r="V216" s="42">
        <f>V217</f>
        <v>0</v>
      </c>
      <c r="W216" s="203">
        <f t="shared" si="47"/>
        <v>0</v>
      </c>
      <c r="X216" s="203">
        <f t="shared" si="48"/>
        <v>0</v>
      </c>
    </row>
    <row r="217" spans="1:24" s="4" customFormat="1" ht="12.75" hidden="1" customHeight="1" x14ac:dyDescent="0.2">
      <c r="A217" s="121" t="s">
        <v>1285</v>
      </c>
      <c r="B217" s="67" t="s">
        <v>969</v>
      </c>
      <c r="C217" s="347" t="s">
        <v>621</v>
      </c>
      <c r="D217" s="347" t="s">
        <v>606</v>
      </c>
      <c r="E217" s="377" t="s">
        <v>1286</v>
      </c>
      <c r="F217" s="377"/>
      <c r="G217" s="42">
        <f t="shared" si="80"/>
        <v>0</v>
      </c>
      <c r="H217" s="42">
        <f t="shared" si="80"/>
        <v>0</v>
      </c>
      <c r="I217" s="42">
        <f t="shared" si="80"/>
        <v>0</v>
      </c>
      <c r="J217" s="42">
        <f t="shared" si="80"/>
        <v>0</v>
      </c>
      <c r="K217" s="42">
        <f t="shared" si="53"/>
        <v>0</v>
      </c>
      <c r="L217" s="42">
        <f t="shared" si="54"/>
        <v>0</v>
      </c>
      <c r="M217" s="217">
        <f t="shared" si="73"/>
        <v>0</v>
      </c>
      <c r="N217" s="43"/>
      <c r="P217" s="301"/>
      <c r="Q217" s="301"/>
      <c r="R217" s="42">
        <f>R218</f>
        <v>0</v>
      </c>
      <c r="S217" s="42">
        <f>S218</f>
        <v>0</v>
      </c>
      <c r="T217" s="217"/>
      <c r="U217" s="42">
        <f>U218</f>
        <v>0</v>
      </c>
      <c r="V217" s="42">
        <f>V218</f>
        <v>0</v>
      </c>
      <c r="W217" s="203">
        <f t="shared" si="47"/>
        <v>0</v>
      </c>
      <c r="X217" s="203">
        <f t="shared" si="48"/>
        <v>0</v>
      </c>
    </row>
    <row r="218" spans="1:24" s="4" customFormat="1" ht="12.75" hidden="1" customHeight="1" x14ac:dyDescent="0.2">
      <c r="A218" s="120" t="s">
        <v>164</v>
      </c>
      <c r="B218" s="331" t="s">
        <v>969</v>
      </c>
      <c r="C218" s="351" t="s">
        <v>621</v>
      </c>
      <c r="D218" s="351" t="s">
        <v>606</v>
      </c>
      <c r="E218" s="378" t="s">
        <v>1286</v>
      </c>
      <c r="F218" s="378" t="s">
        <v>132</v>
      </c>
      <c r="G218" s="43"/>
      <c r="H218" s="43"/>
      <c r="I218" s="43"/>
      <c r="J218" s="43"/>
      <c r="K218" s="43">
        <f t="shared" si="53"/>
        <v>0</v>
      </c>
      <c r="L218" s="43">
        <f t="shared" si="54"/>
        <v>0</v>
      </c>
      <c r="M218" s="217">
        <f t="shared" si="73"/>
        <v>0</v>
      </c>
      <c r="N218" s="43"/>
      <c r="P218" s="444">
        <f>I218-185.06163</f>
        <v>-185.06163000000001</v>
      </c>
      <c r="Q218" s="444"/>
      <c r="R218" s="43"/>
      <c r="S218" s="43"/>
      <c r="T218" s="217"/>
      <c r="U218" s="43"/>
      <c r="V218" s="43"/>
      <c r="W218" s="203">
        <f t="shared" si="47"/>
        <v>0</v>
      </c>
      <c r="X218" s="203">
        <f t="shared" si="48"/>
        <v>0</v>
      </c>
    </row>
    <row r="219" spans="1:24" ht="12" hidden="1" customHeight="1" x14ac:dyDescent="0.2">
      <c r="A219" s="294" t="s">
        <v>65</v>
      </c>
      <c r="B219" s="67" t="s">
        <v>969</v>
      </c>
      <c r="C219" s="347" t="s">
        <v>621</v>
      </c>
      <c r="D219" s="347" t="s">
        <v>606</v>
      </c>
      <c r="E219" s="377" t="s">
        <v>312</v>
      </c>
      <c r="F219" s="377"/>
      <c r="G219" s="42">
        <f>G222+G220</f>
        <v>0</v>
      </c>
      <c r="H219" s="42">
        <f>H222+H220</f>
        <v>0</v>
      </c>
      <c r="I219" s="42">
        <f>I222+I220</f>
        <v>0</v>
      </c>
      <c r="J219" s="42">
        <f>J222+J220</f>
        <v>0</v>
      </c>
      <c r="K219" s="42">
        <f t="shared" si="53"/>
        <v>0</v>
      </c>
      <c r="L219" s="42">
        <f t="shared" si="54"/>
        <v>0</v>
      </c>
      <c r="M219" s="217">
        <f t="shared" si="73"/>
        <v>0</v>
      </c>
      <c r="N219" s="43"/>
      <c r="R219" s="42">
        <f>R222+R220</f>
        <v>6927.0636999999997</v>
      </c>
      <c r="S219" s="42">
        <f>S222+S220</f>
        <v>0</v>
      </c>
      <c r="T219" s="217">
        <f>I219-G219</f>
        <v>0</v>
      </c>
      <c r="U219" s="42">
        <f>U222+U220</f>
        <v>0</v>
      </c>
      <c r="V219" s="42">
        <f>V222+V220</f>
        <v>0</v>
      </c>
      <c r="W219" s="203">
        <f t="shared" si="47"/>
        <v>0</v>
      </c>
      <c r="X219" s="203">
        <f t="shared" si="48"/>
        <v>0</v>
      </c>
    </row>
    <row r="220" spans="1:24" ht="26.25" hidden="1" customHeight="1" x14ac:dyDescent="0.2">
      <c r="A220" s="286" t="s">
        <v>1229</v>
      </c>
      <c r="B220" s="67" t="s">
        <v>969</v>
      </c>
      <c r="C220" s="347" t="s">
        <v>621</v>
      </c>
      <c r="D220" s="347" t="s">
        <v>606</v>
      </c>
      <c r="E220" s="374" t="s">
        <v>1228</v>
      </c>
      <c r="F220" s="377"/>
      <c r="G220" s="42">
        <f>G221</f>
        <v>0</v>
      </c>
      <c r="H220" s="42">
        <f>H221</f>
        <v>0</v>
      </c>
      <c r="I220" s="42">
        <f>I221</f>
        <v>0</v>
      </c>
      <c r="J220" s="42">
        <f>J221</f>
        <v>0</v>
      </c>
      <c r="K220" s="42">
        <f t="shared" si="53"/>
        <v>0</v>
      </c>
      <c r="L220" s="42">
        <f t="shared" si="54"/>
        <v>0</v>
      </c>
      <c r="M220" s="217">
        <f t="shared" si="73"/>
        <v>0</v>
      </c>
      <c r="N220" s="43"/>
      <c r="R220" s="42">
        <f>R221</f>
        <v>6927.0636999999997</v>
      </c>
      <c r="S220" s="42">
        <f>S221</f>
        <v>0</v>
      </c>
      <c r="T220" s="217"/>
      <c r="U220" s="42">
        <f>U221</f>
        <v>0</v>
      </c>
      <c r="V220" s="42">
        <f>V221</f>
        <v>0</v>
      </c>
      <c r="W220" s="203">
        <f t="shared" si="47"/>
        <v>0</v>
      </c>
      <c r="X220" s="203">
        <f t="shared" si="48"/>
        <v>0</v>
      </c>
    </row>
    <row r="221" spans="1:24" ht="12" hidden="1" customHeight="1" x14ac:dyDescent="0.2">
      <c r="A221" s="120" t="s">
        <v>164</v>
      </c>
      <c r="B221" s="68" t="s">
        <v>969</v>
      </c>
      <c r="C221" s="352" t="s">
        <v>621</v>
      </c>
      <c r="D221" s="352" t="s">
        <v>606</v>
      </c>
      <c r="E221" s="380" t="s">
        <v>1228</v>
      </c>
      <c r="F221" s="378" t="s">
        <v>132</v>
      </c>
      <c r="G221" s="185"/>
      <c r="H221" s="185"/>
      <c r="I221" s="185"/>
      <c r="J221" s="185"/>
      <c r="K221" s="43">
        <f t="shared" si="53"/>
        <v>0</v>
      </c>
      <c r="L221" s="43">
        <f t="shared" si="54"/>
        <v>0</v>
      </c>
      <c r="M221" s="217">
        <f t="shared" si="73"/>
        <v>0</v>
      </c>
      <c r="N221" s="43"/>
      <c r="R221" s="185">
        <v>6927.0636999999997</v>
      </c>
      <c r="S221" s="185"/>
      <c r="T221" s="217"/>
      <c r="U221" s="185"/>
      <c r="V221" s="185"/>
      <c r="W221" s="203">
        <f t="shared" si="47"/>
        <v>0</v>
      </c>
      <c r="X221" s="203">
        <f t="shared" si="48"/>
        <v>0</v>
      </c>
    </row>
    <row r="222" spans="1:24" ht="15" hidden="1" customHeight="1" x14ac:dyDescent="0.2">
      <c r="A222" s="286" t="s">
        <v>846</v>
      </c>
      <c r="B222" s="67" t="s">
        <v>969</v>
      </c>
      <c r="C222" s="347" t="s">
        <v>621</v>
      </c>
      <c r="D222" s="347" t="s">
        <v>606</v>
      </c>
      <c r="E222" s="377" t="s">
        <v>845</v>
      </c>
      <c r="F222" s="377"/>
      <c r="G222" s="42">
        <f>G223</f>
        <v>0</v>
      </c>
      <c r="H222" s="42">
        <f>H223</f>
        <v>0</v>
      </c>
      <c r="I222" s="42">
        <f>I223</f>
        <v>0</v>
      </c>
      <c r="J222" s="42">
        <f>J223</f>
        <v>0</v>
      </c>
      <c r="K222" s="42">
        <f t="shared" si="53"/>
        <v>0</v>
      </c>
      <c r="L222" s="42">
        <f t="shared" si="54"/>
        <v>0</v>
      </c>
      <c r="M222" s="217">
        <f t="shared" si="73"/>
        <v>0</v>
      </c>
      <c r="N222" s="43"/>
      <c r="R222" s="42">
        <f>R223</f>
        <v>0</v>
      </c>
      <c r="S222" s="42">
        <f>S223</f>
        <v>0</v>
      </c>
      <c r="T222" s="217">
        <f t="shared" ref="T222:T258" si="81">I222-G222</f>
        <v>0</v>
      </c>
      <c r="U222" s="42">
        <f>U223</f>
        <v>0</v>
      </c>
      <c r="V222" s="42">
        <f>V223</f>
        <v>0</v>
      </c>
      <c r="W222" s="203">
        <f t="shared" si="47"/>
        <v>0</v>
      </c>
      <c r="X222" s="203">
        <f t="shared" si="48"/>
        <v>0</v>
      </c>
    </row>
    <row r="223" spans="1:24" ht="12.75" hidden="1" customHeight="1" x14ac:dyDescent="0.2">
      <c r="A223" s="120" t="s">
        <v>164</v>
      </c>
      <c r="B223" s="68" t="s">
        <v>969</v>
      </c>
      <c r="C223" s="352" t="s">
        <v>621</v>
      </c>
      <c r="D223" s="352" t="s">
        <v>606</v>
      </c>
      <c r="E223" s="378" t="s">
        <v>845</v>
      </c>
      <c r="F223" s="378" t="s">
        <v>132</v>
      </c>
      <c r="G223" s="185"/>
      <c r="H223" s="185"/>
      <c r="I223" s="185"/>
      <c r="J223" s="185"/>
      <c r="K223" s="43">
        <f t="shared" ref="K223:K292" si="82">I223-G223</f>
        <v>0</v>
      </c>
      <c r="L223" s="43">
        <f t="shared" ref="L223:L292" si="83">J223-H223</f>
        <v>0</v>
      </c>
      <c r="M223" s="217">
        <f t="shared" si="73"/>
        <v>0</v>
      </c>
      <c r="N223" s="42"/>
      <c r="R223" s="185"/>
      <c r="S223" s="185"/>
      <c r="T223" s="217">
        <f t="shared" si="81"/>
        <v>0</v>
      </c>
      <c r="U223" s="185"/>
      <c r="V223" s="185"/>
      <c r="W223" s="203">
        <f t="shared" si="47"/>
        <v>0</v>
      </c>
      <c r="X223" s="203">
        <f t="shared" si="48"/>
        <v>0</v>
      </c>
    </row>
    <row r="224" spans="1:24" ht="31.5" x14ac:dyDescent="0.25">
      <c r="A224" s="743" t="s">
        <v>638</v>
      </c>
      <c r="B224" s="66" t="s">
        <v>623</v>
      </c>
      <c r="C224" s="346"/>
      <c r="D224" s="346"/>
      <c r="E224" s="373"/>
      <c r="F224" s="373"/>
      <c r="G224" s="126">
        <f>G225+G278</f>
        <v>39493.47595</v>
      </c>
      <c r="H224" s="126">
        <f>H225+H278</f>
        <v>0</v>
      </c>
      <c r="I224" s="126">
        <f>I225+I278</f>
        <v>48044.812890000008</v>
      </c>
      <c r="J224" s="126">
        <f>J225+J278</f>
        <v>267.5</v>
      </c>
      <c r="K224" s="126">
        <f t="shared" si="82"/>
        <v>8551.3369400000083</v>
      </c>
      <c r="L224" s="126">
        <f t="shared" si="83"/>
        <v>267.5</v>
      </c>
      <c r="M224" s="217">
        <f t="shared" si="73"/>
        <v>0</v>
      </c>
      <c r="N224" s="126" t="e">
        <f>N225</f>
        <v>#REF!</v>
      </c>
      <c r="P224" s="167">
        <v>517.79999999999995</v>
      </c>
      <c r="R224" s="126">
        <f>R225+R278</f>
        <v>36600.76859</v>
      </c>
      <c r="S224" s="126">
        <f>S225+S278</f>
        <v>0</v>
      </c>
      <c r="T224" s="217">
        <f t="shared" si="81"/>
        <v>8551.3369400000083</v>
      </c>
      <c r="U224" s="126">
        <f>U225+U278</f>
        <v>32092.202190000004</v>
      </c>
      <c r="V224" s="126">
        <f>V225+V278</f>
        <v>0</v>
      </c>
      <c r="W224" s="203">
        <f t="shared" si="47"/>
        <v>-8551.3369400000083</v>
      </c>
      <c r="X224" s="203">
        <f t="shared" si="48"/>
        <v>0</v>
      </c>
    </row>
    <row r="225" spans="1:24" ht="15.75" x14ac:dyDescent="0.25">
      <c r="A225" s="738" t="s">
        <v>156</v>
      </c>
      <c r="B225" s="67" t="s">
        <v>623</v>
      </c>
      <c r="C225" s="347" t="s">
        <v>605</v>
      </c>
      <c r="D225" s="346"/>
      <c r="E225" s="373"/>
      <c r="F225" s="373"/>
      <c r="G225" s="42">
        <f>G226</f>
        <v>39493.47595</v>
      </c>
      <c r="H225" s="127">
        <f>H226</f>
        <v>0</v>
      </c>
      <c r="I225" s="42">
        <f>I226</f>
        <v>48044.812890000008</v>
      </c>
      <c r="J225" s="127">
        <f>J226</f>
        <v>267.5</v>
      </c>
      <c r="K225" s="42">
        <f t="shared" si="82"/>
        <v>8551.3369400000083</v>
      </c>
      <c r="L225" s="127">
        <f t="shared" si="83"/>
        <v>267.5</v>
      </c>
      <c r="M225" s="217">
        <f t="shared" si="73"/>
        <v>0</v>
      </c>
      <c r="N225" s="170" t="e">
        <f>N226</f>
        <v>#REF!</v>
      </c>
      <c r="R225" s="42">
        <f>R226</f>
        <v>36600.76859</v>
      </c>
      <c r="S225" s="127">
        <f>S226</f>
        <v>0</v>
      </c>
      <c r="T225" s="217">
        <f t="shared" si="81"/>
        <v>8551.3369400000083</v>
      </c>
      <c r="U225" s="42">
        <f>U226</f>
        <v>32092.202190000004</v>
      </c>
      <c r="V225" s="127">
        <f>V226</f>
        <v>0</v>
      </c>
      <c r="W225" s="203">
        <f t="shared" si="47"/>
        <v>-8551.3369400000083</v>
      </c>
      <c r="X225" s="203">
        <f t="shared" si="48"/>
        <v>0</v>
      </c>
    </row>
    <row r="226" spans="1:24" ht="15.75" x14ac:dyDescent="0.25">
      <c r="A226" s="738" t="s">
        <v>210</v>
      </c>
      <c r="B226" s="67" t="s">
        <v>623</v>
      </c>
      <c r="C226" s="347" t="s">
        <v>605</v>
      </c>
      <c r="D226" s="347" t="s">
        <v>620</v>
      </c>
      <c r="E226" s="373"/>
      <c r="F226" s="373"/>
      <c r="G226" s="42">
        <f>G238+G227+G234</f>
        <v>39493.47595</v>
      </c>
      <c r="H226" s="42">
        <f>H238+H227+H234</f>
        <v>0</v>
      </c>
      <c r="I226" s="42">
        <f>I238+I227+I234</f>
        <v>48044.812890000008</v>
      </c>
      <c r="J226" s="42">
        <f>J238+J227+J234</f>
        <v>267.5</v>
      </c>
      <c r="K226" s="42">
        <f t="shared" si="82"/>
        <v>8551.3369400000083</v>
      </c>
      <c r="L226" s="42">
        <f t="shared" si="83"/>
        <v>267.5</v>
      </c>
      <c r="M226" s="217">
        <f t="shared" si="73"/>
        <v>0</v>
      </c>
      <c r="N226" s="170" t="e">
        <f>N238+N227</f>
        <v>#REF!</v>
      </c>
      <c r="R226" s="42">
        <f>R238+R227+R234</f>
        <v>36600.76859</v>
      </c>
      <c r="S226" s="42">
        <f>S238+S227+S234</f>
        <v>0</v>
      </c>
      <c r="T226" s="217">
        <f t="shared" si="81"/>
        <v>8551.3369400000083</v>
      </c>
      <c r="U226" s="42">
        <f>U238+U227+U234</f>
        <v>32092.202190000004</v>
      </c>
      <c r="V226" s="42">
        <f>V238+V227+V234</f>
        <v>0</v>
      </c>
      <c r="W226" s="203">
        <f t="shared" si="47"/>
        <v>-8551.3369400000083</v>
      </c>
      <c r="X226" s="203">
        <f t="shared" si="48"/>
        <v>0</v>
      </c>
    </row>
    <row r="227" spans="1:24" ht="13.5" hidden="1" customHeight="1" x14ac:dyDescent="0.2">
      <c r="A227" s="118" t="s">
        <v>356</v>
      </c>
      <c r="B227" s="67" t="s">
        <v>623</v>
      </c>
      <c r="C227" s="347" t="s">
        <v>605</v>
      </c>
      <c r="D227" s="347" t="s">
        <v>620</v>
      </c>
      <c r="E227" s="374" t="s">
        <v>362</v>
      </c>
      <c r="F227" s="374"/>
      <c r="G227" s="42">
        <f>G228+G231</f>
        <v>0</v>
      </c>
      <c r="H227" s="127">
        <f>H228+H231</f>
        <v>0</v>
      </c>
      <c r="I227" s="42">
        <f>I228+I231</f>
        <v>0</v>
      </c>
      <c r="J227" s="127">
        <f>J228+J231</f>
        <v>0</v>
      </c>
      <c r="K227" s="42">
        <f t="shared" si="82"/>
        <v>0</v>
      </c>
      <c r="L227" s="127">
        <f t="shared" si="83"/>
        <v>0</v>
      </c>
      <c r="M227" s="217">
        <f t="shared" si="73"/>
        <v>0</v>
      </c>
      <c r="N227" s="170">
        <f>N228+N231</f>
        <v>31</v>
      </c>
      <c r="R227" s="42">
        <f>R228+R231</f>
        <v>0</v>
      </c>
      <c r="S227" s="127">
        <f>S228+S231</f>
        <v>0</v>
      </c>
      <c r="T227" s="217">
        <f t="shared" si="81"/>
        <v>0</v>
      </c>
      <c r="U227" s="42">
        <f>U228+U231</f>
        <v>0</v>
      </c>
      <c r="V227" s="127">
        <f>V228+V231</f>
        <v>0</v>
      </c>
      <c r="W227" s="203">
        <f t="shared" si="47"/>
        <v>0</v>
      </c>
      <c r="X227" s="203">
        <f t="shared" si="48"/>
        <v>0</v>
      </c>
    </row>
    <row r="228" spans="1:24" ht="12" hidden="1" customHeight="1" x14ac:dyDescent="0.2">
      <c r="A228" s="118" t="s">
        <v>519</v>
      </c>
      <c r="B228" s="67" t="s">
        <v>623</v>
      </c>
      <c r="C228" s="347" t="s">
        <v>605</v>
      </c>
      <c r="D228" s="347" t="s">
        <v>620</v>
      </c>
      <c r="E228" s="374" t="s">
        <v>516</v>
      </c>
      <c r="F228" s="374"/>
      <c r="G228" s="42">
        <f t="shared" ref="G228:J229" si="84">G229</f>
        <v>0</v>
      </c>
      <c r="H228" s="127">
        <f t="shared" si="84"/>
        <v>0</v>
      </c>
      <c r="I228" s="42">
        <f t="shared" si="84"/>
        <v>0</v>
      </c>
      <c r="J228" s="127">
        <f t="shared" si="84"/>
        <v>0</v>
      </c>
      <c r="K228" s="42">
        <f t="shared" si="82"/>
        <v>0</v>
      </c>
      <c r="L228" s="127">
        <f t="shared" si="83"/>
        <v>0</v>
      </c>
      <c r="M228" s="217">
        <f t="shared" si="73"/>
        <v>0</v>
      </c>
      <c r="N228" s="170">
        <f>N229</f>
        <v>10</v>
      </c>
      <c r="R228" s="42">
        <f>R229</f>
        <v>0</v>
      </c>
      <c r="S228" s="127">
        <f>S229</f>
        <v>0</v>
      </c>
      <c r="T228" s="217">
        <f t="shared" si="81"/>
        <v>0</v>
      </c>
      <c r="U228" s="42">
        <f>U229</f>
        <v>0</v>
      </c>
      <c r="V228" s="127">
        <f>V229</f>
        <v>0</v>
      </c>
      <c r="W228" s="203">
        <f t="shared" si="47"/>
        <v>0</v>
      </c>
      <c r="X228" s="203">
        <f t="shared" si="48"/>
        <v>0</v>
      </c>
    </row>
    <row r="229" spans="1:24" ht="12" hidden="1" customHeight="1" x14ac:dyDescent="0.2">
      <c r="A229" s="118" t="s">
        <v>190</v>
      </c>
      <c r="B229" s="67" t="s">
        <v>623</v>
      </c>
      <c r="C229" s="347" t="s">
        <v>605</v>
      </c>
      <c r="D229" s="347" t="s">
        <v>620</v>
      </c>
      <c r="E229" s="374" t="s">
        <v>531</v>
      </c>
      <c r="F229" s="374"/>
      <c r="G229" s="42">
        <f t="shared" si="84"/>
        <v>0</v>
      </c>
      <c r="H229" s="127">
        <f t="shared" si="84"/>
        <v>0</v>
      </c>
      <c r="I229" s="42">
        <f t="shared" si="84"/>
        <v>0</v>
      </c>
      <c r="J229" s="127">
        <f t="shared" si="84"/>
        <v>0</v>
      </c>
      <c r="K229" s="42">
        <f t="shared" si="82"/>
        <v>0</v>
      </c>
      <c r="L229" s="127">
        <f t="shared" si="83"/>
        <v>0</v>
      </c>
      <c r="M229" s="217">
        <f t="shared" si="73"/>
        <v>0</v>
      </c>
      <c r="N229" s="170">
        <f>N230</f>
        <v>10</v>
      </c>
      <c r="R229" s="42">
        <f>R230</f>
        <v>0</v>
      </c>
      <c r="S229" s="127">
        <f>S230</f>
        <v>0</v>
      </c>
      <c r="T229" s="217">
        <f t="shared" si="81"/>
        <v>0</v>
      </c>
      <c r="U229" s="42">
        <f>U230</f>
        <v>0</v>
      </c>
      <c r="V229" s="127">
        <f>V230</f>
        <v>0</v>
      </c>
      <c r="W229" s="203">
        <f t="shared" si="47"/>
        <v>0</v>
      </c>
      <c r="X229" s="203">
        <f t="shared" si="48"/>
        <v>0</v>
      </c>
    </row>
    <row r="230" spans="1:24" ht="12" hidden="1" customHeight="1" x14ac:dyDescent="0.2">
      <c r="A230" s="124" t="s">
        <v>834</v>
      </c>
      <c r="B230" s="243" t="s">
        <v>623</v>
      </c>
      <c r="C230" s="353" t="s">
        <v>605</v>
      </c>
      <c r="D230" s="353" t="s">
        <v>620</v>
      </c>
      <c r="E230" s="369" t="s">
        <v>531</v>
      </c>
      <c r="F230" s="369" t="s">
        <v>634</v>
      </c>
      <c r="G230" s="288">
        <v>0</v>
      </c>
      <c r="H230" s="288">
        <v>0</v>
      </c>
      <c r="I230" s="288">
        <v>0</v>
      </c>
      <c r="J230" s="288">
        <v>0</v>
      </c>
      <c r="K230" s="43">
        <f t="shared" si="82"/>
        <v>0</v>
      </c>
      <c r="L230" s="43">
        <f t="shared" si="83"/>
        <v>0</v>
      </c>
      <c r="M230" s="217">
        <f t="shared" si="73"/>
        <v>0</v>
      </c>
      <c r="N230" s="172">
        <v>10</v>
      </c>
      <c r="R230" s="288">
        <v>0</v>
      </c>
      <c r="S230" s="288">
        <v>0</v>
      </c>
      <c r="T230" s="217">
        <f t="shared" si="81"/>
        <v>0</v>
      </c>
      <c r="U230" s="288">
        <v>0</v>
      </c>
      <c r="V230" s="288">
        <v>0</v>
      </c>
      <c r="W230" s="203">
        <f t="shared" si="47"/>
        <v>0</v>
      </c>
      <c r="X230" s="203">
        <f t="shared" si="48"/>
        <v>0</v>
      </c>
    </row>
    <row r="231" spans="1:24" ht="12" hidden="1" customHeight="1" x14ac:dyDescent="0.2">
      <c r="A231" s="118" t="s">
        <v>67</v>
      </c>
      <c r="B231" s="67" t="s">
        <v>623</v>
      </c>
      <c r="C231" s="347" t="s">
        <v>605</v>
      </c>
      <c r="D231" s="347" t="s">
        <v>620</v>
      </c>
      <c r="E231" s="374" t="s">
        <v>517</v>
      </c>
      <c r="F231" s="374"/>
      <c r="G231" s="42">
        <f t="shared" ref="G231:J232" si="85">G232</f>
        <v>0</v>
      </c>
      <c r="H231" s="127">
        <f t="shared" si="85"/>
        <v>0</v>
      </c>
      <c r="I231" s="42">
        <f t="shared" si="85"/>
        <v>0</v>
      </c>
      <c r="J231" s="127">
        <f t="shared" si="85"/>
        <v>0</v>
      </c>
      <c r="K231" s="42">
        <f t="shared" si="82"/>
        <v>0</v>
      </c>
      <c r="L231" s="127">
        <f t="shared" si="83"/>
        <v>0</v>
      </c>
      <c r="M231" s="217">
        <f t="shared" si="73"/>
        <v>0</v>
      </c>
      <c r="N231" s="170">
        <f>N232</f>
        <v>21</v>
      </c>
      <c r="R231" s="42">
        <f>R232</f>
        <v>0</v>
      </c>
      <c r="S231" s="127">
        <f>S232</f>
        <v>0</v>
      </c>
      <c r="T231" s="217">
        <f t="shared" si="81"/>
        <v>0</v>
      </c>
      <c r="U231" s="42">
        <f>U232</f>
        <v>0</v>
      </c>
      <c r="V231" s="127">
        <f>V232</f>
        <v>0</v>
      </c>
      <c r="W231" s="203">
        <f t="shared" si="47"/>
        <v>0</v>
      </c>
      <c r="X231" s="203">
        <f t="shared" si="48"/>
        <v>0</v>
      </c>
    </row>
    <row r="232" spans="1:24" ht="12" hidden="1" customHeight="1" x14ac:dyDescent="0.2">
      <c r="A232" s="118" t="s">
        <v>190</v>
      </c>
      <c r="B232" s="67" t="s">
        <v>623</v>
      </c>
      <c r="C232" s="347" t="s">
        <v>605</v>
      </c>
      <c r="D232" s="347" t="s">
        <v>620</v>
      </c>
      <c r="E232" s="374" t="s">
        <v>532</v>
      </c>
      <c r="F232" s="374"/>
      <c r="G232" s="42">
        <f t="shared" si="85"/>
        <v>0</v>
      </c>
      <c r="H232" s="127">
        <f t="shared" si="85"/>
        <v>0</v>
      </c>
      <c r="I232" s="42">
        <f t="shared" si="85"/>
        <v>0</v>
      </c>
      <c r="J232" s="127">
        <f t="shared" si="85"/>
        <v>0</v>
      </c>
      <c r="K232" s="42">
        <f t="shared" si="82"/>
        <v>0</v>
      </c>
      <c r="L232" s="127">
        <f t="shared" si="83"/>
        <v>0</v>
      </c>
      <c r="M232" s="217">
        <f t="shared" si="73"/>
        <v>0</v>
      </c>
      <c r="N232" s="170">
        <f>N233</f>
        <v>21</v>
      </c>
      <c r="R232" s="42">
        <f>R233</f>
        <v>0</v>
      </c>
      <c r="S232" s="127">
        <f>S233</f>
        <v>0</v>
      </c>
      <c r="T232" s="217">
        <f t="shared" si="81"/>
        <v>0</v>
      </c>
      <c r="U232" s="42">
        <f>U233</f>
        <v>0</v>
      </c>
      <c r="V232" s="127">
        <f>V233</f>
        <v>0</v>
      </c>
      <c r="W232" s="203">
        <f t="shared" si="47"/>
        <v>0</v>
      </c>
      <c r="X232" s="203">
        <f t="shared" si="48"/>
        <v>0</v>
      </c>
    </row>
    <row r="233" spans="1:24" ht="16.5" hidden="1" customHeight="1" x14ac:dyDescent="0.2">
      <c r="A233" s="124" t="s">
        <v>834</v>
      </c>
      <c r="B233" s="243" t="s">
        <v>623</v>
      </c>
      <c r="C233" s="353" t="s">
        <v>605</v>
      </c>
      <c r="D233" s="353" t="s">
        <v>620</v>
      </c>
      <c r="E233" s="369" t="s">
        <v>532</v>
      </c>
      <c r="F233" s="369" t="s">
        <v>634</v>
      </c>
      <c r="G233" s="288">
        <v>0</v>
      </c>
      <c r="H233" s="288">
        <v>0</v>
      </c>
      <c r="I233" s="288">
        <v>0</v>
      </c>
      <c r="J233" s="288">
        <v>0</v>
      </c>
      <c r="K233" s="43">
        <f t="shared" si="82"/>
        <v>0</v>
      </c>
      <c r="L233" s="43">
        <f t="shared" si="83"/>
        <v>0</v>
      </c>
      <c r="M233" s="217">
        <f t="shared" si="73"/>
        <v>0</v>
      </c>
      <c r="N233" s="172">
        <v>21</v>
      </c>
      <c r="R233" s="288">
        <v>0</v>
      </c>
      <c r="S233" s="288">
        <v>0</v>
      </c>
      <c r="T233" s="217">
        <f t="shared" si="81"/>
        <v>0</v>
      </c>
      <c r="U233" s="288">
        <v>0</v>
      </c>
      <c r="V233" s="288">
        <v>0</v>
      </c>
      <c r="W233" s="203">
        <f t="shared" si="47"/>
        <v>0</v>
      </c>
      <c r="X233" s="203">
        <f t="shared" si="48"/>
        <v>0</v>
      </c>
    </row>
    <row r="234" spans="1:24" s="307" customFormat="1" ht="24" hidden="1" customHeight="1" x14ac:dyDescent="0.2">
      <c r="A234" s="451" t="s">
        <v>732</v>
      </c>
      <c r="B234" s="306" t="s">
        <v>623</v>
      </c>
      <c r="C234" s="354" t="s">
        <v>605</v>
      </c>
      <c r="D234" s="354" t="s">
        <v>620</v>
      </c>
      <c r="E234" s="450" t="s">
        <v>729</v>
      </c>
      <c r="F234" s="450"/>
      <c r="G234" s="498">
        <f t="shared" ref="G234:J236" si="86">G235</f>
        <v>0</v>
      </c>
      <c r="H234" s="498">
        <f t="shared" si="86"/>
        <v>0</v>
      </c>
      <c r="I234" s="591">
        <f t="shared" si="86"/>
        <v>0</v>
      </c>
      <c r="J234" s="591">
        <f t="shared" si="86"/>
        <v>0</v>
      </c>
      <c r="K234" s="591">
        <f t="shared" si="82"/>
        <v>0</v>
      </c>
      <c r="L234" s="591">
        <f t="shared" si="83"/>
        <v>0</v>
      </c>
      <c r="M234" s="217">
        <f t="shared" si="73"/>
        <v>0</v>
      </c>
      <c r="N234" s="308"/>
      <c r="R234" s="591">
        <f t="shared" ref="R234:S236" si="87">R235</f>
        <v>0</v>
      </c>
      <c r="S234" s="591">
        <f t="shared" si="87"/>
        <v>0</v>
      </c>
      <c r="T234" s="309">
        <f t="shared" si="81"/>
        <v>0</v>
      </c>
      <c r="U234" s="498">
        <f t="shared" ref="U234:V236" si="88">U235</f>
        <v>0</v>
      </c>
      <c r="V234" s="498">
        <f t="shared" si="88"/>
        <v>0</v>
      </c>
      <c r="W234" s="310">
        <f t="shared" si="47"/>
        <v>0</v>
      </c>
      <c r="X234" s="310">
        <f t="shared" si="48"/>
        <v>0</v>
      </c>
    </row>
    <row r="235" spans="1:24" s="307" customFormat="1" ht="12" hidden="1" customHeight="1" x14ac:dyDescent="0.2">
      <c r="A235" s="451" t="s">
        <v>733</v>
      </c>
      <c r="B235" s="306" t="s">
        <v>623</v>
      </c>
      <c r="C235" s="354" t="s">
        <v>605</v>
      </c>
      <c r="D235" s="354" t="s">
        <v>620</v>
      </c>
      <c r="E235" s="450" t="s">
        <v>730</v>
      </c>
      <c r="F235" s="450"/>
      <c r="G235" s="498">
        <f t="shared" si="86"/>
        <v>0</v>
      </c>
      <c r="H235" s="498">
        <f t="shared" si="86"/>
        <v>0</v>
      </c>
      <c r="I235" s="591">
        <f t="shared" si="86"/>
        <v>0</v>
      </c>
      <c r="J235" s="591">
        <f t="shared" si="86"/>
        <v>0</v>
      </c>
      <c r="K235" s="591">
        <f t="shared" si="82"/>
        <v>0</v>
      </c>
      <c r="L235" s="591">
        <f t="shared" si="83"/>
        <v>0</v>
      </c>
      <c r="M235" s="217">
        <f t="shared" si="73"/>
        <v>0</v>
      </c>
      <c r="N235" s="308"/>
      <c r="R235" s="591">
        <f t="shared" si="87"/>
        <v>0</v>
      </c>
      <c r="S235" s="591">
        <f t="shared" si="87"/>
        <v>0</v>
      </c>
      <c r="T235" s="309">
        <f t="shared" si="81"/>
        <v>0</v>
      </c>
      <c r="U235" s="498">
        <f t="shared" si="88"/>
        <v>0</v>
      </c>
      <c r="V235" s="498">
        <f t="shared" si="88"/>
        <v>0</v>
      </c>
      <c r="W235" s="310">
        <f t="shared" si="47"/>
        <v>0</v>
      </c>
      <c r="X235" s="310">
        <f t="shared" si="48"/>
        <v>0</v>
      </c>
    </row>
    <row r="236" spans="1:24" s="307" customFormat="1" ht="12" hidden="1" customHeight="1" x14ac:dyDescent="0.2">
      <c r="A236" s="451" t="s">
        <v>734</v>
      </c>
      <c r="B236" s="306" t="s">
        <v>623</v>
      </c>
      <c r="C236" s="354" t="s">
        <v>605</v>
      </c>
      <c r="D236" s="354" t="s">
        <v>620</v>
      </c>
      <c r="E236" s="450" t="s">
        <v>731</v>
      </c>
      <c r="F236" s="450"/>
      <c r="G236" s="498">
        <f t="shared" si="86"/>
        <v>0</v>
      </c>
      <c r="H236" s="498">
        <f t="shared" si="86"/>
        <v>0</v>
      </c>
      <c r="I236" s="591">
        <f t="shared" si="86"/>
        <v>0</v>
      </c>
      <c r="J236" s="591">
        <f t="shared" si="86"/>
        <v>0</v>
      </c>
      <c r="K236" s="591">
        <f t="shared" si="82"/>
        <v>0</v>
      </c>
      <c r="L236" s="591">
        <f t="shared" si="83"/>
        <v>0</v>
      </c>
      <c r="M236" s="217">
        <f t="shared" si="73"/>
        <v>0</v>
      </c>
      <c r="N236" s="308"/>
      <c r="R236" s="591">
        <f t="shared" si="87"/>
        <v>0</v>
      </c>
      <c r="S236" s="591">
        <f t="shared" si="87"/>
        <v>0</v>
      </c>
      <c r="T236" s="309">
        <f t="shared" si="81"/>
        <v>0</v>
      </c>
      <c r="U236" s="498">
        <f t="shared" si="88"/>
        <v>0</v>
      </c>
      <c r="V236" s="498">
        <f t="shared" si="88"/>
        <v>0</v>
      </c>
      <c r="W236" s="310">
        <f t="shared" si="47"/>
        <v>0</v>
      </c>
      <c r="X236" s="310">
        <f t="shared" si="48"/>
        <v>0</v>
      </c>
    </row>
    <row r="237" spans="1:24" ht="17.25" hidden="1" customHeight="1" x14ac:dyDescent="0.2">
      <c r="A237" s="124" t="s">
        <v>834</v>
      </c>
      <c r="B237" s="243" t="s">
        <v>623</v>
      </c>
      <c r="C237" s="353" t="s">
        <v>605</v>
      </c>
      <c r="D237" s="353" t="s">
        <v>620</v>
      </c>
      <c r="E237" s="369" t="s">
        <v>731</v>
      </c>
      <c r="F237" s="369" t="s">
        <v>634</v>
      </c>
      <c r="G237" s="288">
        <f>31-31</f>
        <v>0</v>
      </c>
      <c r="H237" s="288"/>
      <c r="I237" s="288">
        <f>31-31</f>
        <v>0</v>
      </c>
      <c r="J237" s="288"/>
      <c r="K237" s="43">
        <f t="shared" si="82"/>
        <v>0</v>
      </c>
      <c r="L237" s="43">
        <f t="shared" si="83"/>
        <v>0</v>
      </c>
      <c r="M237" s="217">
        <f t="shared" si="73"/>
        <v>0</v>
      </c>
      <c r="N237" s="172"/>
      <c r="R237" s="288">
        <f>31-31</f>
        <v>0</v>
      </c>
      <c r="S237" s="288"/>
      <c r="T237" s="217">
        <f t="shared" si="81"/>
        <v>0</v>
      </c>
      <c r="U237" s="288">
        <f>31-31</f>
        <v>0</v>
      </c>
      <c r="V237" s="288"/>
      <c r="W237" s="203">
        <f t="shared" si="47"/>
        <v>0</v>
      </c>
      <c r="X237" s="203">
        <f t="shared" si="48"/>
        <v>0</v>
      </c>
    </row>
    <row r="238" spans="1:24" s="307" customFormat="1" ht="15" x14ac:dyDescent="0.2">
      <c r="A238" s="746" t="s">
        <v>65</v>
      </c>
      <c r="B238" s="306" t="s">
        <v>623</v>
      </c>
      <c r="C238" s="354" t="s">
        <v>605</v>
      </c>
      <c r="D238" s="354" t="s">
        <v>620</v>
      </c>
      <c r="E238" s="450" t="s">
        <v>312</v>
      </c>
      <c r="F238" s="450"/>
      <c r="G238" s="591">
        <f>G241+G260+G262+G257+G251+G254+G265+G273+G267+G269+G239</f>
        <v>39493.47595</v>
      </c>
      <c r="H238" s="591">
        <f t="shared" ref="H238:L238" si="89">H241+H260+H262+H257+H251+H254+H265+H273+H267+H269+H239</f>
        <v>0</v>
      </c>
      <c r="I238" s="591">
        <f t="shared" si="89"/>
        <v>48044.812890000008</v>
      </c>
      <c r="J238" s="591">
        <f t="shared" si="89"/>
        <v>267.5</v>
      </c>
      <c r="K238" s="591">
        <f t="shared" si="89"/>
        <v>8551.3369400000047</v>
      </c>
      <c r="L238" s="591">
        <f t="shared" si="89"/>
        <v>267.5</v>
      </c>
      <c r="M238" s="217">
        <f t="shared" si="73"/>
        <v>0</v>
      </c>
      <c r="N238" s="308" t="e">
        <f>N241+N260+N262</f>
        <v>#REF!</v>
      </c>
      <c r="P238" s="326">
        <f>G242+G243+G244+G245+G246+G247+G249+G270+G271</f>
        <v>39150.264119999993</v>
      </c>
      <c r="R238" s="591">
        <f>R241+R260+R262+R257+R251+R254+R265+R273+R267+R269</f>
        <v>36600.76859</v>
      </c>
      <c r="S238" s="591">
        <f>S241+S260+S262+S257+S251+S254+S265+S273+S267+S269</f>
        <v>0</v>
      </c>
      <c r="T238" s="309">
        <f t="shared" si="81"/>
        <v>8551.3369400000083</v>
      </c>
      <c r="U238" s="498">
        <f>U241+U260+U262+U257+U251+U254+U265+U273+U267+U269</f>
        <v>32092.202190000004</v>
      </c>
      <c r="V238" s="498">
        <f>V241+V260+V262+V257+V251+V254+V265+V273+V267+V269</f>
        <v>0</v>
      </c>
      <c r="W238" s="310">
        <f t="shared" si="47"/>
        <v>-8551.3369400000083</v>
      </c>
      <c r="X238" s="310">
        <f t="shared" si="48"/>
        <v>0</v>
      </c>
    </row>
    <row r="239" spans="1:24" s="307" customFormat="1" ht="15" x14ac:dyDescent="0.2">
      <c r="A239" s="746" t="s">
        <v>2008</v>
      </c>
      <c r="B239" s="306" t="s">
        <v>623</v>
      </c>
      <c r="C239" s="354" t="s">
        <v>605</v>
      </c>
      <c r="D239" s="354" t="s">
        <v>620</v>
      </c>
      <c r="E239" s="697">
        <v>9990012210</v>
      </c>
      <c r="F239" s="697"/>
      <c r="G239" s="591">
        <f>G240</f>
        <v>0</v>
      </c>
      <c r="H239" s="591">
        <f t="shared" ref="H239:L239" si="90">H240</f>
        <v>0</v>
      </c>
      <c r="I239" s="591">
        <f t="shared" si="90"/>
        <v>202.32</v>
      </c>
      <c r="J239" s="591">
        <f t="shared" si="90"/>
        <v>0</v>
      </c>
      <c r="K239" s="591">
        <f t="shared" si="90"/>
        <v>202.32</v>
      </c>
      <c r="L239" s="591">
        <f t="shared" si="90"/>
        <v>0</v>
      </c>
      <c r="M239" s="217"/>
      <c r="N239" s="308"/>
      <c r="P239" s="326"/>
      <c r="R239" s="591"/>
      <c r="S239" s="591"/>
      <c r="T239" s="309"/>
      <c r="U239" s="591"/>
      <c r="V239" s="591"/>
      <c r="W239" s="310"/>
      <c r="X239" s="310"/>
    </row>
    <row r="240" spans="1:24" s="307" customFormat="1" ht="15" x14ac:dyDescent="0.2">
      <c r="A240" s="739" t="s">
        <v>1558</v>
      </c>
      <c r="B240" s="243" t="s">
        <v>623</v>
      </c>
      <c r="C240" s="353" t="s">
        <v>605</v>
      </c>
      <c r="D240" s="353" t="s">
        <v>620</v>
      </c>
      <c r="E240" s="369">
        <v>9990012210</v>
      </c>
      <c r="F240" s="369">
        <v>244</v>
      </c>
      <c r="G240" s="288"/>
      <c r="H240" s="288"/>
      <c r="I240" s="288">
        <v>202.32</v>
      </c>
      <c r="J240" s="288"/>
      <c r="K240" s="43">
        <f t="shared" ref="K240" si="91">I240-G240</f>
        <v>202.32</v>
      </c>
      <c r="L240" s="43">
        <f t="shared" ref="L240" si="92">J240-H240</f>
        <v>0</v>
      </c>
      <c r="M240" s="217"/>
      <c r="N240" s="308"/>
      <c r="P240" s="326"/>
      <c r="R240" s="591"/>
      <c r="S240" s="591"/>
      <c r="T240" s="309"/>
      <c r="U240" s="591"/>
      <c r="V240" s="591"/>
      <c r="W240" s="310"/>
      <c r="X240" s="310"/>
    </row>
    <row r="241" spans="1:24" s="307" customFormat="1" ht="15" x14ac:dyDescent="0.2">
      <c r="A241" s="746" t="s">
        <v>190</v>
      </c>
      <c r="B241" s="306" t="s">
        <v>623</v>
      </c>
      <c r="C241" s="354" t="s">
        <v>605</v>
      </c>
      <c r="D241" s="354" t="s">
        <v>620</v>
      </c>
      <c r="E241" s="450" t="s">
        <v>533</v>
      </c>
      <c r="F241" s="450"/>
      <c r="G241" s="591">
        <f>SUM(G242:G250)</f>
        <v>23792.854950000001</v>
      </c>
      <c r="H241" s="591">
        <f>SUM(H242:H250)</f>
        <v>0</v>
      </c>
      <c r="I241" s="591">
        <f>SUM(I242:I250)</f>
        <v>22154.073800000006</v>
      </c>
      <c r="J241" s="591">
        <f>SUM(J242:J250)</f>
        <v>0</v>
      </c>
      <c r="K241" s="591">
        <f t="shared" si="82"/>
        <v>-1638.7811499999953</v>
      </c>
      <c r="L241" s="591">
        <f t="shared" si="83"/>
        <v>0</v>
      </c>
      <c r="M241" s="217">
        <f t="shared" si="73"/>
        <v>0</v>
      </c>
      <c r="N241" s="308">
        <f>SUM(N242:N250)</f>
        <v>14912.396999999999</v>
      </c>
      <c r="P241" s="326">
        <f>G243+G245+G246+G249</f>
        <v>15393.467140000001</v>
      </c>
      <c r="R241" s="591">
        <f>SUM(R242:R250)</f>
        <v>22955.343190000003</v>
      </c>
      <c r="S241" s="591">
        <f>SUM(S242:S250)</f>
        <v>0</v>
      </c>
      <c r="T241" s="309">
        <f t="shared" si="81"/>
        <v>-1638.7811499999953</v>
      </c>
      <c r="U241" s="498">
        <f>SUM(U242:U250)</f>
        <v>25883.387910000001</v>
      </c>
      <c r="V241" s="498">
        <f>SUM(V242:V250)</f>
        <v>0</v>
      </c>
      <c r="W241" s="310">
        <f t="shared" si="47"/>
        <v>1638.7811499999953</v>
      </c>
      <c r="X241" s="310">
        <f t="shared" si="48"/>
        <v>0</v>
      </c>
    </row>
    <row r="242" spans="1:24" ht="15" x14ac:dyDescent="0.2">
      <c r="A242" s="739" t="s">
        <v>655</v>
      </c>
      <c r="B242" s="243" t="s">
        <v>623</v>
      </c>
      <c r="C242" s="353" t="s">
        <v>605</v>
      </c>
      <c r="D242" s="353" t="s">
        <v>620</v>
      </c>
      <c r="E242" s="369" t="s">
        <v>533</v>
      </c>
      <c r="F242" s="369" t="s">
        <v>189</v>
      </c>
      <c r="G242" s="288">
        <v>5241.9670400000005</v>
      </c>
      <c r="H242" s="288"/>
      <c r="I242" s="288">
        <v>4096.6008899999997</v>
      </c>
      <c r="J242" s="288"/>
      <c r="K242" s="43">
        <f t="shared" si="82"/>
        <v>-1145.3661500000007</v>
      </c>
      <c r="L242" s="43">
        <f t="shared" si="83"/>
        <v>0</v>
      </c>
      <c r="M242" s="217">
        <f t="shared" si="73"/>
        <v>0</v>
      </c>
      <c r="N242" s="171">
        <v>8193.91</v>
      </c>
      <c r="P242" s="206">
        <v>8300.6110000000008</v>
      </c>
      <c r="Q242" s="212">
        <f>G242+G244+G269</f>
        <v>22201.755949999999</v>
      </c>
      <c r="R242" s="288">
        <v>6040.7669599999999</v>
      </c>
      <c r="S242" s="288"/>
      <c r="T242" s="217">
        <f t="shared" si="81"/>
        <v>-1145.3661500000007</v>
      </c>
      <c r="U242" s="288">
        <v>10534.0821</v>
      </c>
      <c r="V242" s="288">
        <v>0</v>
      </c>
      <c r="W242" s="203">
        <f t="shared" si="47"/>
        <v>1145.3661500000007</v>
      </c>
      <c r="X242" s="203">
        <f t="shared" si="48"/>
        <v>0</v>
      </c>
    </row>
    <row r="243" spans="1:24" ht="15" x14ac:dyDescent="0.2">
      <c r="A243" s="739" t="s">
        <v>656</v>
      </c>
      <c r="B243" s="243" t="s">
        <v>623</v>
      </c>
      <c r="C243" s="353" t="s">
        <v>605</v>
      </c>
      <c r="D243" s="353" t="s">
        <v>620</v>
      </c>
      <c r="E243" s="369" t="s">
        <v>533</v>
      </c>
      <c r="F243" s="369" t="s">
        <v>232</v>
      </c>
      <c r="G243" s="288">
        <v>186</v>
      </c>
      <c r="H243" s="288"/>
      <c r="I243" s="288">
        <v>204.09</v>
      </c>
      <c r="J243" s="288"/>
      <c r="K243" s="43">
        <f t="shared" si="82"/>
        <v>18.090000000000003</v>
      </c>
      <c r="L243" s="43">
        <f t="shared" si="83"/>
        <v>0</v>
      </c>
      <c r="M243" s="217">
        <f t="shared" si="73"/>
        <v>0</v>
      </c>
      <c r="N243" s="171">
        <v>28</v>
      </c>
      <c r="P243" s="206">
        <v>64</v>
      </c>
      <c r="Q243" s="212"/>
      <c r="R243" s="288">
        <v>115.5</v>
      </c>
      <c r="S243" s="288"/>
      <c r="T243" s="217">
        <f t="shared" si="81"/>
        <v>18.090000000000003</v>
      </c>
      <c r="U243" s="288">
        <v>93.4</v>
      </c>
      <c r="V243" s="288">
        <v>0</v>
      </c>
      <c r="W243" s="203">
        <f t="shared" si="47"/>
        <v>-18.090000000000003</v>
      </c>
      <c r="X243" s="203">
        <f t="shared" si="48"/>
        <v>0</v>
      </c>
    </row>
    <row r="244" spans="1:24" ht="25.5" x14ac:dyDescent="0.2">
      <c r="A244" s="739" t="s">
        <v>534</v>
      </c>
      <c r="B244" s="243" t="s">
        <v>623</v>
      </c>
      <c r="C244" s="353" t="s">
        <v>605</v>
      </c>
      <c r="D244" s="353" t="s">
        <v>620</v>
      </c>
      <c r="E244" s="369" t="s">
        <v>533</v>
      </c>
      <c r="F244" s="369" t="s">
        <v>535</v>
      </c>
      <c r="G244" s="288">
        <v>1583.0739100000001</v>
      </c>
      <c r="H244" s="288"/>
      <c r="I244" s="288">
        <v>1473.25891</v>
      </c>
      <c r="J244" s="288"/>
      <c r="K244" s="43">
        <f t="shared" si="82"/>
        <v>-109.81500000000005</v>
      </c>
      <c r="L244" s="43">
        <f t="shared" si="83"/>
        <v>0</v>
      </c>
      <c r="M244" s="217">
        <f t="shared" si="73"/>
        <v>0</v>
      </c>
      <c r="N244" s="171">
        <v>2474.5300000000002</v>
      </c>
      <c r="P244" s="206">
        <v>2520.4360000000001</v>
      </c>
      <c r="Q244" s="212"/>
      <c r="R244" s="288">
        <v>1828.28241</v>
      </c>
      <c r="S244" s="288"/>
      <c r="T244" s="217">
        <f t="shared" si="81"/>
        <v>-109.81500000000005</v>
      </c>
      <c r="U244" s="288">
        <v>3181.9618999999998</v>
      </c>
      <c r="V244" s="288">
        <v>0</v>
      </c>
      <c r="W244" s="203">
        <f t="shared" si="47"/>
        <v>109.81500000000005</v>
      </c>
      <c r="X244" s="203">
        <f t="shared" si="48"/>
        <v>0</v>
      </c>
    </row>
    <row r="245" spans="1:24" ht="15" x14ac:dyDescent="0.2">
      <c r="A245" s="739" t="s">
        <v>233</v>
      </c>
      <c r="B245" s="243" t="s">
        <v>623</v>
      </c>
      <c r="C245" s="353" t="s">
        <v>605</v>
      </c>
      <c r="D245" s="353" t="s">
        <v>620</v>
      </c>
      <c r="E245" s="369" t="s">
        <v>533</v>
      </c>
      <c r="F245" s="369" t="s">
        <v>635</v>
      </c>
      <c r="G245" s="288">
        <v>1871.961</v>
      </c>
      <c r="H245" s="288"/>
      <c r="I245" s="288">
        <v>1508.46208</v>
      </c>
      <c r="J245" s="288"/>
      <c r="K245" s="43">
        <f t="shared" si="82"/>
        <v>-363.49892</v>
      </c>
      <c r="L245" s="43">
        <f t="shared" si="83"/>
        <v>0</v>
      </c>
      <c r="M245" s="217">
        <f t="shared" si="73"/>
        <v>0</v>
      </c>
      <c r="N245" s="171">
        <f>550.297+51.861</f>
        <v>602.15800000000002</v>
      </c>
      <c r="P245" s="206">
        <v>962.91444999999999</v>
      </c>
      <c r="Q245" s="212"/>
      <c r="R245" s="288">
        <v>1169.0350000000001</v>
      </c>
      <c r="S245" s="288"/>
      <c r="T245" s="217">
        <f t="shared" si="81"/>
        <v>-363.49892</v>
      </c>
      <c r="U245" s="288">
        <v>1360.9469999999999</v>
      </c>
      <c r="V245" s="288">
        <v>0</v>
      </c>
      <c r="W245" s="203">
        <f t="shared" ref="W245:W348" si="93">G245-I245</f>
        <v>363.49892</v>
      </c>
      <c r="X245" s="203">
        <f t="shared" ref="X245:X348" si="94">K245+W245</f>
        <v>0</v>
      </c>
    </row>
    <row r="246" spans="1:24" ht="15" x14ac:dyDescent="0.2">
      <c r="A246" s="739" t="s">
        <v>834</v>
      </c>
      <c r="B246" s="243" t="s">
        <v>623</v>
      </c>
      <c r="C246" s="353" t="s">
        <v>605</v>
      </c>
      <c r="D246" s="353" t="s">
        <v>620</v>
      </c>
      <c r="E246" s="369" t="s">
        <v>533</v>
      </c>
      <c r="F246" s="369" t="s">
        <v>634</v>
      </c>
      <c r="G246" s="288">
        <v>13298.806140000001</v>
      </c>
      <c r="H246" s="288"/>
      <c r="I246" s="288">
        <v>13630.485210000001</v>
      </c>
      <c r="J246" s="288"/>
      <c r="K246" s="43">
        <f t="shared" si="82"/>
        <v>331.67907000000014</v>
      </c>
      <c r="L246" s="43">
        <f t="shared" si="83"/>
        <v>0</v>
      </c>
      <c r="M246" s="217">
        <f t="shared" si="73"/>
        <v>0</v>
      </c>
      <c r="N246" s="171">
        <v>3556.348</v>
      </c>
      <c r="P246" s="206">
        <v>6038.4839000000002</v>
      </c>
      <c r="Q246" s="212"/>
      <c r="R246" s="288">
        <v>12447.6149</v>
      </c>
      <c r="S246" s="288"/>
      <c r="T246" s="217">
        <f t="shared" si="81"/>
        <v>331.67907000000014</v>
      </c>
      <c r="U246" s="288">
        <v>9533.1726500000004</v>
      </c>
      <c r="V246" s="288">
        <v>0</v>
      </c>
      <c r="W246" s="203">
        <f t="shared" si="93"/>
        <v>-331.67907000000014</v>
      </c>
      <c r="X246" s="203">
        <f t="shared" si="94"/>
        <v>0</v>
      </c>
    </row>
    <row r="247" spans="1:24" ht="15" x14ac:dyDescent="0.2">
      <c r="A247" s="739" t="s">
        <v>1248</v>
      </c>
      <c r="B247" s="243" t="s">
        <v>623</v>
      </c>
      <c r="C247" s="353" t="s">
        <v>605</v>
      </c>
      <c r="D247" s="353" t="s">
        <v>620</v>
      </c>
      <c r="E247" s="369" t="s">
        <v>533</v>
      </c>
      <c r="F247" s="369">
        <v>247</v>
      </c>
      <c r="G247" s="288">
        <v>1555.0410300000001</v>
      </c>
      <c r="H247" s="288"/>
      <c r="I247" s="288">
        <v>1185.1708799999999</v>
      </c>
      <c r="J247" s="288"/>
      <c r="K247" s="43">
        <f t="shared" si="82"/>
        <v>-369.87015000000019</v>
      </c>
      <c r="L247" s="43">
        <f t="shared" si="83"/>
        <v>0</v>
      </c>
      <c r="M247" s="217">
        <f t="shared" si="73"/>
        <v>0</v>
      </c>
      <c r="N247" s="171"/>
      <c r="P247" s="206"/>
      <c r="Q247" s="212"/>
      <c r="R247" s="288">
        <v>1313.894</v>
      </c>
      <c r="S247" s="288"/>
      <c r="T247" s="217">
        <f t="shared" si="81"/>
        <v>-369.87015000000019</v>
      </c>
      <c r="U247" s="288">
        <v>1151.8242600000001</v>
      </c>
      <c r="V247" s="288">
        <v>0</v>
      </c>
      <c r="W247" s="203">
        <f t="shared" si="93"/>
        <v>369.87015000000019</v>
      </c>
      <c r="X247" s="203">
        <f t="shared" si="94"/>
        <v>0</v>
      </c>
    </row>
    <row r="248" spans="1:24" ht="12" hidden="1" customHeight="1" x14ac:dyDescent="0.2">
      <c r="A248" s="124" t="s">
        <v>290</v>
      </c>
      <c r="B248" s="243" t="s">
        <v>623</v>
      </c>
      <c r="C248" s="353" t="s">
        <v>605</v>
      </c>
      <c r="D248" s="353" t="s">
        <v>620</v>
      </c>
      <c r="E248" s="369" t="s">
        <v>533</v>
      </c>
      <c r="F248" s="369" t="s">
        <v>289</v>
      </c>
      <c r="G248" s="288"/>
      <c r="H248" s="288"/>
      <c r="I248" s="288"/>
      <c r="J248" s="288"/>
      <c r="K248" s="43">
        <f t="shared" si="82"/>
        <v>0</v>
      </c>
      <c r="L248" s="43">
        <f t="shared" si="83"/>
        <v>0</v>
      </c>
      <c r="M248" s="217">
        <f t="shared" si="73"/>
        <v>0</v>
      </c>
      <c r="N248" s="171">
        <v>21.259</v>
      </c>
      <c r="P248" s="206">
        <v>5.54</v>
      </c>
      <c r="Q248" s="212"/>
      <c r="R248" s="288"/>
      <c r="S248" s="288"/>
      <c r="T248" s="217">
        <f t="shared" si="81"/>
        <v>0</v>
      </c>
      <c r="U248" s="288">
        <v>0</v>
      </c>
      <c r="V248" s="288"/>
      <c r="W248" s="203">
        <f t="shared" si="93"/>
        <v>0</v>
      </c>
      <c r="X248" s="203">
        <f t="shared" si="94"/>
        <v>0</v>
      </c>
    </row>
    <row r="249" spans="1:24" ht="15" x14ac:dyDescent="0.2">
      <c r="A249" s="739" t="s">
        <v>837</v>
      </c>
      <c r="B249" s="243" t="s">
        <v>623</v>
      </c>
      <c r="C249" s="353" t="s">
        <v>605</v>
      </c>
      <c r="D249" s="353" t="s">
        <v>620</v>
      </c>
      <c r="E249" s="369" t="s">
        <v>533</v>
      </c>
      <c r="F249" s="369" t="s">
        <v>231</v>
      </c>
      <c r="G249" s="288">
        <v>36.700000000000003</v>
      </c>
      <c r="H249" s="288"/>
      <c r="I249" s="288">
        <v>36.700000000000003</v>
      </c>
      <c r="J249" s="288"/>
      <c r="K249" s="43">
        <f t="shared" si="82"/>
        <v>0</v>
      </c>
      <c r="L249" s="43">
        <f t="shared" si="83"/>
        <v>0</v>
      </c>
      <c r="M249" s="217">
        <f t="shared" si="73"/>
        <v>0</v>
      </c>
      <c r="N249" s="171">
        <v>24.532</v>
      </c>
      <c r="P249" s="206">
        <v>23.486000000000001</v>
      </c>
      <c r="Q249" s="212"/>
      <c r="R249" s="288">
        <v>33.881</v>
      </c>
      <c r="S249" s="288"/>
      <c r="T249" s="217">
        <f t="shared" si="81"/>
        <v>0</v>
      </c>
      <c r="U249" s="288">
        <v>20</v>
      </c>
      <c r="V249" s="288">
        <v>0</v>
      </c>
      <c r="W249" s="203">
        <f t="shared" si="93"/>
        <v>0</v>
      </c>
      <c r="X249" s="203">
        <f t="shared" si="94"/>
        <v>0</v>
      </c>
    </row>
    <row r="250" spans="1:24" ht="12" customHeight="1" x14ac:dyDescent="0.2">
      <c r="A250" s="739" t="s">
        <v>303</v>
      </c>
      <c r="B250" s="243" t="s">
        <v>623</v>
      </c>
      <c r="C250" s="353" t="s">
        <v>605</v>
      </c>
      <c r="D250" s="353" t="s">
        <v>620</v>
      </c>
      <c r="E250" s="369" t="s">
        <v>533</v>
      </c>
      <c r="F250" s="369" t="s">
        <v>302</v>
      </c>
      <c r="G250" s="288">
        <v>19.30583</v>
      </c>
      <c r="H250" s="288"/>
      <c r="I250" s="288">
        <v>19.30583</v>
      </c>
      <c r="J250" s="288"/>
      <c r="K250" s="43">
        <f t="shared" si="82"/>
        <v>0</v>
      </c>
      <c r="L250" s="43">
        <f t="shared" si="83"/>
        <v>0</v>
      </c>
      <c r="M250" s="217">
        <f t="shared" si="73"/>
        <v>0</v>
      </c>
      <c r="N250" s="171">
        <v>11.66</v>
      </c>
      <c r="P250" s="206">
        <v>3.496</v>
      </c>
      <c r="Q250" s="212"/>
      <c r="R250" s="288">
        <v>6.3689200000000001</v>
      </c>
      <c r="S250" s="288"/>
      <c r="T250" s="217">
        <f t="shared" si="81"/>
        <v>0</v>
      </c>
      <c r="U250" s="288">
        <v>8</v>
      </c>
      <c r="V250" s="288">
        <v>0</v>
      </c>
      <c r="W250" s="203">
        <f t="shared" si="93"/>
        <v>0</v>
      </c>
      <c r="X250" s="203">
        <f t="shared" si="94"/>
        <v>0</v>
      </c>
    </row>
    <row r="251" spans="1:24" s="307" customFormat="1" ht="27" customHeight="1" x14ac:dyDescent="0.2">
      <c r="A251" s="746" t="s">
        <v>2002</v>
      </c>
      <c r="B251" s="306" t="s">
        <v>623</v>
      </c>
      <c r="C251" s="354" t="s">
        <v>605</v>
      </c>
      <c r="D251" s="354" t="s">
        <v>620</v>
      </c>
      <c r="E251" s="450">
        <v>9990055493</v>
      </c>
      <c r="F251" s="450"/>
      <c r="G251" s="591">
        <f>G252+G253</f>
        <v>0</v>
      </c>
      <c r="H251" s="591">
        <f>H252+H253</f>
        <v>0</v>
      </c>
      <c r="I251" s="591">
        <f>I252+I253</f>
        <v>267.5</v>
      </c>
      <c r="J251" s="591">
        <f>J252+J253</f>
        <v>267.5</v>
      </c>
      <c r="K251" s="591">
        <f t="shared" si="82"/>
        <v>267.5</v>
      </c>
      <c r="L251" s="591">
        <f t="shared" si="83"/>
        <v>267.5</v>
      </c>
      <c r="M251" s="217">
        <f t="shared" si="73"/>
        <v>0</v>
      </c>
      <c r="N251" s="308"/>
      <c r="P251" s="311"/>
      <c r="Q251" s="311"/>
      <c r="R251" s="591">
        <f>R252+R253</f>
        <v>0</v>
      </c>
      <c r="S251" s="591">
        <f>S252+S253</f>
        <v>0</v>
      </c>
      <c r="T251" s="309">
        <f t="shared" si="81"/>
        <v>267.5</v>
      </c>
      <c r="U251" s="498">
        <f>U252+U253</f>
        <v>0</v>
      </c>
      <c r="V251" s="498">
        <f>V252+V253</f>
        <v>0</v>
      </c>
      <c r="W251" s="310">
        <f t="shared" si="93"/>
        <v>-267.5</v>
      </c>
      <c r="X251" s="310">
        <f t="shared" si="94"/>
        <v>0</v>
      </c>
    </row>
    <row r="252" spans="1:24" ht="12" customHeight="1" x14ac:dyDescent="0.2">
      <c r="A252" s="739" t="s">
        <v>2006</v>
      </c>
      <c r="B252" s="243" t="s">
        <v>623</v>
      </c>
      <c r="C252" s="353" t="s">
        <v>605</v>
      </c>
      <c r="D252" s="353" t="s">
        <v>620</v>
      </c>
      <c r="E252" s="369">
        <v>9990055493</v>
      </c>
      <c r="F252" s="369">
        <v>111</v>
      </c>
      <c r="G252" s="288"/>
      <c r="H252" s="288"/>
      <c r="I252" s="288">
        <v>205.45314999999999</v>
      </c>
      <c r="J252" s="288">
        <v>205.45314999999999</v>
      </c>
      <c r="K252" s="43">
        <f t="shared" si="82"/>
        <v>205.45314999999999</v>
      </c>
      <c r="L252" s="43">
        <f t="shared" si="83"/>
        <v>205.45314999999999</v>
      </c>
      <c r="M252" s="217">
        <f t="shared" si="73"/>
        <v>0</v>
      </c>
      <c r="N252" s="171"/>
      <c r="P252" s="212"/>
      <c r="Q252" s="212"/>
      <c r="R252" s="288"/>
      <c r="S252" s="288"/>
      <c r="T252" s="217">
        <f t="shared" si="81"/>
        <v>205.45314999999999</v>
      </c>
      <c r="U252" s="288"/>
      <c r="V252" s="288"/>
      <c r="W252" s="203">
        <f t="shared" si="93"/>
        <v>-205.45314999999999</v>
      </c>
      <c r="X252" s="203">
        <f t="shared" si="94"/>
        <v>0</v>
      </c>
    </row>
    <row r="253" spans="1:24" ht="25.5" customHeight="1" x14ac:dyDescent="0.2">
      <c r="A253" s="739" t="s">
        <v>2007</v>
      </c>
      <c r="B253" s="243" t="s">
        <v>623</v>
      </c>
      <c r="C253" s="353" t="s">
        <v>605</v>
      </c>
      <c r="D253" s="353" t="s">
        <v>620</v>
      </c>
      <c r="E253" s="369">
        <v>9990055493</v>
      </c>
      <c r="F253" s="369" t="s">
        <v>535</v>
      </c>
      <c r="G253" s="288"/>
      <c r="H253" s="288"/>
      <c r="I253" s="288">
        <v>62.046849999999999</v>
      </c>
      <c r="J253" s="288">
        <v>62.046849999999999</v>
      </c>
      <c r="K253" s="43">
        <f t="shared" si="82"/>
        <v>62.046849999999999</v>
      </c>
      <c r="L253" s="43">
        <f t="shared" si="83"/>
        <v>62.046849999999999</v>
      </c>
      <c r="M253" s="217">
        <f t="shared" si="73"/>
        <v>0</v>
      </c>
      <c r="N253" s="171"/>
      <c r="P253" s="212"/>
      <c r="Q253" s="212"/>
      <c r="R253" s="288"/>
      <c r="S253" s="288"/>
      <c r="T253" s="217">
        <f t="shared" si="81"/>
        <v>62.046849999999999</v>
      </c>
      <c r="U253" s="288"/>
      <c r="V253" s="288"/>
      <c r="W253" s="203">
        <f t="shared" si="93"/>
        <v>-62.046849999999999</v>
      </c>
      <c r="X253" s="203">
        <f t="shared" si="94"/>
        <v>0</v>
      </c>
    </row>
    <row r="254" spans="1:24" s="307" customFormat="1" ht="37.5" hidden="1" customHeight="1" x14ac:dyDescent="0.2">
      <c r="A254" s="451" t="s">
        <v>938</v>
      </c>
      <c r="B254" s="306" t="s">
        <v>623</v>
      </c>
      <c r="C254" s="354" t="s">
        <v>605</v>
      </c>
      <c r="D254" s="354" t="s">
        <v>620</v>
      </c>
      <c r="E254" s="450" t="s">
        <v>849</v>
      </c>
      <c r="F254" s="450"/>
      <c r="G254" s="498">
        <f>G255+G256</f>
        <v>0</v>
      </c>
      <c r="H254" s="498">
        <f>H255+H256</f>
        <v>0</v>
      </c>
      <c r="I254" s="591">
        <f>I255+I256</f>
        <v>0</v>
      </c>
      <c r="J254" s="591">
        <f>J255+J256</f>
        <v>0</v>
      </c>
      <c r="K254" s="591">
        <f t="shared" si="82"/>
        <v>0</v>
      </c>
      <c r="L254" s="591">
        <f t="shared" si="83"/>
        <v>0</v>
      </c>
      <c r="M254" s="217">
        <f t="shared" si="73"/>
        <v>0</v>
      </c>
      <c r="N254" s="308"/>
      <c r="P254" s="311"/>
      <c r="Q254" s="311"/>
      <c r="R254" s="591">
        <f>R255+R256</f>
        <v>0</v>
      </c>
      <c r="S254" s="591">
        <f>S255+S256</f>
        <v>0</v>
      </c>
      <c r="T254" s="309">
        <f t="shared" si="81"/>
        <v>0</v>
      </c>
      <c r="U254" s="498">
        <f>U255+U256</f>
        <v>0</v>
      </c>
      <c r="V254" s="498">
        <f>V255+V256</f>
        <v>0</v>
      </c>
      <c r="W254" s="310">
        <f t="shared" si="93"/>
        <v>0</v>
      </c>
      <c r="X254" s="310">
        <f t="shared" si="94"/>
        <v>0</v>
      </c>
    </row>
    <row r="255" spans="1:24" ht="13.5" hidden="1" customHeight="1" x14ac:dyDescent="0.2">
      <c r="A255" s="124" t="s">
        <v>655</v>
      </c>
      <c r="B255" s="243" t="s">
        <v>623</v>
      </c>
      <c r="C255" s="353" t="s">
        <v>605</v>
      </c>
      <c r="D255" s="353" t="s">
        <v>620</v>
      </c>
      <c r="E255" s="369" t="s">
        <v>849</v>
      </c>
      <c r="F255" s="369" t="s">
        <v>189</v>
      </c>
      <c r="G255" s="288"/>
      <c r="H255" s="288"/>
      <c r="I255" s="288"/>
      <c r="J255" s="288"/>
      <c r="K255" s="43">
        <f t="shared" si="82"/>
        <v>0</v>
      </c>
      <c r="L255" s="43">
        <f t="shared" si="83"/>
        <v>0</v>
      </c>
      <c r="M255" s="217">
        <f t="shared" si="73"/>
        <v>0</v>
      </c>
      <c r="N255" s="171"/>
      <c r="P255" s="212"/>
      <c r="Q255" s="212"/>
      <c r="R255" s="288"/>
      <c r="S255" s="288"/>
      <c r="T255" s="217">
        <f t="shared" si="81"/>
        <v>0</v>
      </c>
      <c r="U255" s="288"/>
      <c r="V255" s="288"/>
      <c r="W255" s="203">
        <f t="shared" si="93"/>
        <v>0</v>
      </c>
      <c r="X255" s="203">
        <f t="shared" si="94"/>
        <v>0</v>
      </c>
    </row>
    <row r="256" spans="1:24" ht="25.5" hidden="1" customHeight="1" x14ac:dyDescent="0.2">
      <c r="A256" s="124" t="s">
        <v>534</v>
      </c>
      <c r="B256" s="243" t="s">
        <v>623</v>
      </c>
      <c r="C256" s="353" t="s">
        <v>605</v>
      </c>
      <c r="D256" s="353" t="s">
        <v>620</v>
      </c>
      <c r="E256" s="369" t="s">
        <v>849</v>
      </c>
      <c r="F256" s="369" t="s">
        <v>535</v>
      </c>
      <c r="G256" s="288"/>
      <c r="H256" s="288"/>
      <c r="I256" s="288"/>
      <c r="J256" s="288"/>
      <c r="K256" s="43">
        <f t="shared" si="82"/>
        <v>0</v>
      </c>
      <c r="L256" s="43">
        <f t="shared" si="83"/>
        <v>0</v>
      </c>
      <c r="M256" s="217">
        <f t="shared" si="73"/>
        <v>0</v>
      </c>
      <c r="N256" s="171"/>
      <c r="P256" s="212"/>
      <c r="Q256" s="212"/>
      <c r="R256" s="288"/>
      <c r="S256" s="288"/>
      <c r="T256" s="217">
        <f t="shared" si="81"/>
        <v>0</v>
      </c>
      <c r="U256" s="288"/>
      <c r="V256" s="288"/>
      <c r="W256" s="203">
        <f t="shared" si="93"/>
        <v>0</v>
      </c>
      <c r="X256" s="203">
        <f t="shared" si="94"/>
        <v>0</v>
      </c>
    </row>
    <row r="257" spans="1:24" ht="37.5" hidden="1" customHeight="1" x14ac:dyDescent="0.2">
      <c r="A257" s="124" t="s">
        <v>1023</v>
      </c>
      <c r="B257" s="243" t="s">
        <v>623</v>
      </c>
      <c r="C257" s="353" t="s">
        <v>605</v>
      </c>
      <c r="D257" s="353" t="s">
        <v>620</v>
      </c>
      <c r="E257" s="369" t="s">
        <v>1022</v>
      </c>
      <c r="F257" s="369"/>
      <c r="G257" s="288">
        <f>G258+G259</f>
        <v>0</v>
      </c>
      <c r="H257" s="288">
        <f>H258+H259</f>
        <v>0</v>
      </c>
      <c r="I257" s="288">
        <f>I258+I259</f>
        <v>0</v>
      </c>
      <c r="J257" s="288">
        <f>J258+J259</f>
        <v>0</v>
      </c>
      <c r="K257" s="43">
        <f t="shared" si="82"/>
        <v>0</v>
      </c>
      <c r="L257" s="43">
        <f t="shared" si="83"/>
        <v>0</v>
      </c>
      <c r="M257" s="217">
        <f t="shared" si="73"/>
        <v>0</v>
      </c>
      <c r="N257" s="171"/>
      <c r="P257" s="212"/>
      <c r="Q257" s="212"/>
      <c r="R257" s="288">
        <f>R258+R259</f>
        <v>0</v>
      </c>
      <c r="S257" s="288">
        <f>S258+S259</f>
        <v>0</v>
      </c>
      <c r="T257" s="217">
        <f t="shared" si="81"/>
        <v>0</v>
      </c>
      <c r="U257" s="288">
        <f>U258+U259</f>
        <v>0</v>
      </c>
      <c r="V257" s="288">
        <f>V258+V259</f>
        <v>0</v>
      </c>
      <c r="W257" s="203">
        <f t="shared" si="93"/>
        <v>0</v>
      </c>
      <c r="X257" s="203">
        <f t="shared" si="94"/>
        <v>0</v>
      </c>
    </row>
    <row r="258" spans="1:24" ht="12" hidden="1" customHeight="1" x14ac:dyDescent="0.2">
      <c r="A258" s="124" t="s">
        <v>655</v>
      </c>
      <c r="B258" s="243" t="s">
        <v>623</v>
      </c>
      <c r="C258" s="353" t="s">
        <v>605</v>
      </c>
      <c r="D258" s="353" t="s">
        <v>620</v>
      </c>
      <c r="E258" s="369" t="s">
        <v>1022</v>
      </c>
      <c r="F258" s="369" t="s">
        <v>189</v>
      </c>
      <c r="G258" s="288"/>
      <c r="H258" s="288"/>
      <c r="I258" s="288"/>
      <c r="J258" s="288"/>
      <c r="K258" s="43">
        <f t="shared" si="82"/>
        <v>0</v>
      </c>
      <c r="L258" s="43">
        <f t="shared" si="83"/>
        <v>0</v>
      </c>
      <c r="M258" s="217">
        <f t="shared" si="73"/>
        <v>0</v>
      </c>
      <c r="N258" s="171"/>
      <c r="P258" s="212"/>
      <c r="Q258" s="212"/>
      <c r="R258" s="288"/>
      <c r="S258" s="288"/>
      <c r="T258" s="217">
        <f t="shared" si="81"/>
        <v>0</v>
      </c>
      <c r="U258" s="288"/>
      <c r="V258" s="288"/>
      <c r="W258" s="203">
        <f t="shared" si="93"/>
        <v>0</v>
      </c>
      <c r="X258" s="203">
        <f t="shared" si="94"/>
        <v>0</v>
      </c>
    </row>
    <row r="259" spans="1:24" ht="27" hidden="1" customHeight="1" x14ac:dyDescent="0.2">
      <c r="A259" s="124" t="s">
        <v>534</v>
      </c>
      <c r="B259" s="243" t="s">
        <v>623</v>
      </c>
      <c r="C259" s="353" t="s">
        <v>605</v>
      </c>
      <c r="D259" s="353" t="s">
        <v>620</v>
      </c>
      <c r="E259" s="369" t="s">
        <v>1022</v>
      </c>
      <c r="F259" s="369" t="s">
        <v>535</v>
      </c>
      <c r="G259" s="288"/>
      <c r="H259" s="288"/>
      <c r="I259" s="288"/>
      <c r="J259" s="288"/>
      <c r="K259" s="43">
        <f t="shared" si="82"/>
        <v>0</v>
      </c>
      <c r="L259" s="43">
        <f t="shared" si="83"/>
        <v>0</v>
      </c>
      <c r="M259" s="217">
        <f t="shared" si="73"/>
        <v>0</v>
      </c>
      <c r="N259" s="171"/>
      <c r="P259" s="212"/>
      <c r="Q259" s="212"/>
      <c r="R259" s="288"/>
      <c r="S259" s="288"/>
      <c r="T259" s="217"/>
      <c r="U259" s="288"/>
      <c r="V259" s="288"/>
      <c r="W259" s="203">
        <f t="shared" si="93"/>
        <v>0</v>
      </c>
      <c r="X259" s="203">
        <f t="shared" si="94"/>
        <v>0</v>
      </c>
    </row>
    <row r="260" spans="1:24" s="307" customFormat="1" ht="12" hidden="1" customHeight="1" x14ac:dyDescent="0.2">
      <c r="A260" s="451" t="s">
        <v>177</v>
      </c>
      <c r="B260" s="306" t="s">
        <v>623</v>
      </c>
      <c r="C260" s="354" t="s">
        <v>605</v>
      </c>
      <c r="D260" s="354" t="s">
        <v>620</v>
      </c>
      <c r="E260" s="450" t="s">
        <v>536</v>
      </c>
      <c r="F260" s="450"/>
      <c r="G260" s="498">
        <f>G261</f>
        <v>0</v>
      </c>
      <c r="H260" s="498">
        <f>H261</f>
        <v>0</v>
      </c>
      <c r="I260" s="591">
        <f>I261</f>
        <v>0</v>
      </c>
      <c r="J260" s="591">
        <f>J261</f>
        <v>0</v>
      </c>
      <c r="K260" s="591">
        <f t="shared" si="82"/>
        <v>0</v>
      </c>
      <c r="L260" s="591">
        <f t="shared" si="83"/>
        <v>0</v>
      </c>
      <c r="M260" s="217">
        <f t="shared" si="73"/>
        <v>0</v>
      </c>
      <c r="N260" s="312" t="e">
        <f>#REF!+N261</f>
        <v>#REF!</v>
      </c>
      <c r="R260" s="591">
        <f>R261</f>
        <v>0</v>
      </c>
      <c r="S260" s="591">
        <f>S261</f>
        <v>0</v>
      </c>
      <c r="T260" s="309">
        <f t="shared" ref="T260:T266" si="95">I260-G260</f>
        <v>0</v>
      </c>
      <c r="U260" s="498">
        <f>U261</f>
        <v>0</v>
      </c>
      <c r="V260" s="498">
        <f>V261</f>
        <v>0</v>
      </c>
      <c r="W260" s="310">
        <f t="shared" si="93"/>
        <v>0</v>
      </c>
      <c r="X260" s="310">
        <f t="shared" si="94"/>
        <v>0</v>
      </c>
    </row>
    <row r="261" spans="1:24" ht="12" hidden="1" customHeight="1" x14ac:dyDescent="0.2">
      <c r="A261" s="124" t="s">
        <v>834</v>
      </c>
      <c r="B261" s="243" t="s">
        <v>623</v>
      </c>
      <c r="C261" s="353" t="s">
        <v>605</v>
      </c>
      <c r="D261" s="353" t="s">
        <v>620</v>
      </c>
      <c r="E261" s="369" t="s">
        <v>536</v>
      </c>
      <c r="F261" s="369" t="s">
        <v>634</v>
      </c>
      <c r="G261" s="288"/>
      <c r="H261" s="288"/>
      <c r="I261" s="288"/>
      <c r="J261" s="288"/>
      <c r="K261" s="43">
        <f t="shared" si="82"/>
        <v>0</v>
      </c>
      <c r="L261" s="43">
        <f t="shared" si="83"/>
        <v>0</v>
      </c>
      <c r="M261" s="217">
        <f t="shared" si="73"/>
        <v>0</v>
      </c>
      <c r="N261" s="130">
        <v>183.54400000000001</v>
      </c>
      <c r="R261" s="288"/>
      <c r="S261" s="288"/>
      <c r="T261" s="217">
        <f t="shared" si="95"/>
        <v>0</v>
      </c>
      <c r="U261" s="288"/>
      <c r="V261" s="288"/>
      <c r="W261" s="203">
        <f t="shared" si="93"/>
        <v>0</v>
      </c>
      <c r="X261" s="203">
        <f t="shared" si="94"/>
        <v>0</v>
      </c>
    </row>
    <row r="262" spans="1:24" s="307" customFormat="1" ht="15" x14ac:dyDescent="0.2">
      <c r="A262" s="746" t="s">
        <v>976</v>
      </c>
      <c r="B262" s="306" t="s">
        <v>623</v>
      </c>
      <c r="C262" s="354" t="s">
        <v>605</v>
      </c>
      <c r="D262" s="354" t="s">
        <v>620</v>
      </c>
      <c r="E262" s="450" t="s">
        <v>975</v>
      </c>
      <c r="F262" s="450"/>
      <c r="G262" s="591">
        <f t="shared" ref="G262:L262" si="96">G264+G263</f>
        <v>323.90600000000001</v>
      </c>
      <c r="H262" s="591">
        <f t="shared" si="96"/>
        <v>0</v>
      </c>
      <c r="I262" s="591">
        <f t="shared" si="96"/>
        <v>323.90600000000001</v>
      </c>
      <c r="J262" s="591">
        <f t="shared" si="96"/>
        <v>0</v>
      </c>
      <c r="K262" s="591">
        <f t="shared" si="96"/>
        <v>0</v>
      </c>
      <c r="L262" s="591">
        <f t="shared" si="96"/>
        <v>0</v>
      </c>
      <c r="M262" s="217">
        <f t="shared" si="73"/>
        <v>0</v>
      </c>
      <c r="N262" s="312">
        <f>N264</f>
        <v>96.25</v>
      </c>
      <c r="R262" s="591">
        <f>R264</f>
        <v>0</v>
      </c>
      <c r="S262" s="591">
        <f>S264</f>
        <v>0</v>
      </c>
      <c r="T262" s="309">
        <f t="shared" si="95"/>
        <v>0</v>
      </c>
      <c r="U262" s="498">
        <f>U264</f>
        <v>607.55727999999999</v>
      </c>
      <c r="V262" s="498">
        <f>V264</f>
        <v>0</v>
      </c>
      <c r="W262" s="310">
        <f t="shared" si="93"/>
        <v>0</v>
      </c>
      <c r="X262" s="310">
        <f t="shared" si="94"/>
        <v>0</v>
      </c>
    </row>
    <row r="263" spans="1:24" s="307" customFormat="1" ht="15" x14ac:dyDescent="0.2">
      <c r="A263" s="739" t="s">
        <v>233</v>
      </c>
      <c r="B263" s="243" t="s">
        <v>623</v>
      </c>
      <c r="C263" s="353" t="s">
        <v>605</v>
      </c>
      <c r="D263" s="353" t="s">
        <v>620</v>
      </c>
      <c r="E263" s="369" t="s">
        <v>975</v>
      </c>
      <c r="F263" s="369">
        <v>242</v>
      </c>
      <c r="G263" s="288">
        <v>247.77099999999999</v>
      </c>
      <c r="H263" s="288"/>
      <c r="I263" s="288">
        <v>247.77099999999999</v>
      </c>
      <c r="J263" s="288"/>
      <c r="K263" s="43">
        <f>I263-G263</f>
        <v>0</v>
      </c>
      <c r="L263" s="43">
        <f>J263-H263</f>
        <v>0</v>
      </c>
      <c r="M263" s="217"/>
      <c r="N263" s="312"/>
      <c r="R263" s="591"/>
      <c r="S263" s="591"/>
      <c r="T263" s="309"/>
      <c r="U263" s="591"/>
      <c r="V263" s="591"/>
      <c r="W263" s="310"/>
      <c r="X263" s="310"/>
    </row>
    <row r="264" spans="1:24" ht="15" x14ac:dyDescent="0.2">
      <c r="A264" s="739" t="s">
        <v>834</v>
      </c>
      <c r="B264" s="243" t="s">
        <v>623</v>
      </c>
      <c r="C264" s="353" t="s">
        <v>605</v>
      </c>
      <c r="D264" s="353" t="s">
        <v>620</v>
      </c>
      <c r="E264" s="369" t="s">
        <v>975</v>
      </c>
      <c r="F264" s="369">
        <v>244</v>
      </c>
      <c r="G264" s="288">
        <v>76.135000000000005</v>
      </c>
      <c r="H264" s="288"/>
      <c r="I264" s="288">
        <v>76.135000000000005</v>
      </c>
      <c r="J264" s="288"/>
      <c r="K264" s="43">
        <f t="shared" si="82"/>
        <v>0</v>
      </c>
      <c r="L264" s="43">
        <f t="shared" si="83"/>
        <v>0</v>
      </c>
      <c r="M264" s="217">
        <f t="shared" si="73"/>
        <v>0</v>
      </c>
      <c r="N264" s="130">
        <v>96.25</v>
      </c>
      <c r="R264" s="288">
        <v>0</v>
      </c>
      <c r="S264" s="288"/>
      <c r="T264" s="217">
        <f t="shared" si="95"/>
        <v>0</v>
      </c>
      <c r="U264" s="288">
        <v>607.55727999999999</v>
      </c>
      <c r="V264" s="288">
        <v>0</v>
      </c>
      <c r="W264" s="203">
        <f t="shared" si="93"/>
        <v>0</v>
      </c>
      <c r="X264" s="203">
        <f t="shared" si="94"/>
        <v>0</v>
      </c>
    </row>
    <row r="265" spans="1:24" s="307" customFormat="1" ht="15" hidden="1" x14ac:dyDescent="0.2">
      <c r="A265" s="598" t="s">
        <v>1488</v>
      </c>
      <c r="B265" s="306" t="s">
        <v>623</v>
      </c>
      <c r="C265" s="354" t="s">
        <v>605</v>
      </c>
      <c r="D265" s="354" t="s">
        <v>620</v>
      </c>
      <c r="E265" s="450">
        <v>9990082940</v>
      </c>
      <c r="F265" s="450"/>
      <c r="G265" s="498">
        <f>G266</f>
        <v>0</v>
      </c>
      <c r="H265" s="498">
        <f>H266</f>
        <v>0</v>
      </c>
      <c r="I265" s="591">
        <f>I266</f>
        <v>0</v>
      </c>
      <c r="J265" s="591">
        <f>J266</f>
        <v>0</v>
      </c>
      <c r="K265" s="591">
        <f t="shared" si="82"/>
        <v>0</v>
      </c>
      <c r="L265" s="591">
        <f t="shared" si="83"/>
        <v>0</v>
      </c>
      <c r="M265" s="217">
        <f t="shared" si="73"/>
        <v>0</v>
      </c>
      <c r="N265" s="312">
        <f>N266</f>
        <v>96.25</v>
      </c>
      <c r="R265" s="591">
        <f>R266</f>
        <v>165.25</v>
      </c>
      <c r="S265" s="591">
        <f>S266</f>
        <v>0</v>
      </c>
      <c r="T265" s="309">
        <f t="shared" si="95"/>
        <v>0</v>
      </c>
      <c r="U265" s="498">
        <f t="shared" ref="U265:V267" si="97">U266</f>
        <v>0</v>
      </c>
      <c r="V265" s="498">
        <f t="shared" si="97"/>
        <v>0</v>
      </c>
      <c r="W265" s="310">
        <f t="shared" si="93"/>
        <v>0</v>
      </c>
      <c r="X265" s="310">
        <f t="shared" si="94"/>
        <v>0</v>
      </c>
    </row>
    <row r="266" spans="1:24" ht="15" hidden="1" x14ac:dyDescent="0.2">
      <c r="A266" s="124" t="s">
        <v>834</v>
      </c>
      <c r="B266" s="243" t="s">
        <v>623</v>
      </c>
      <c r="C266" s="353" t="s">
        <v>605</v>
      </c>
      <c r="D266" s="353" t="s">
        <v>620</v>
      </c>
      <c r="E266" s="369">
        <v>9990082940</v>
      </c>
      <c r="F266" s="369" t="s">
        <v>634</v>
      </c>
      <c r="G266" s="288"/>
      <c r="H266" s="288"/>
      <c r="I266" s="288"/>
      <c r="J266" s="288"/>
      <c r="K266" s="43">
        <f t="shared" si="82"/>
        <v>0</v>
      </c>
      <c r="L266" s="43">
        <f t="shared" si="83"/>
        <v>0</v>
      </c>
      <c r="M266" s="217">
        <f t="shared" si="73"/>
        <v>0</v>
      </c>
      <c r="N266" s="130">
        <v>96.25</v>
      </c>
      <c r="R266" s="288">
        <v>165.25</v>
      </c>
      <c r="S266" s="288"/>
      <c r="T266" s="217">
        <f t="shared" si="95"/>
        <v>0</v>
      </c>
      <c r="U266" s="288"/>
      <c r="V266" s="288"/>
      <c r="W266" s="203">
        <f t="shared" si="93"/>
        <v>0</v>
      </c>
      <c r="X266" s="203">
        <f t="shared" si="94"/>
        <v>0</v>
      </c>
    </row>
    <row r="267" spans="1:24" ht="24.75" hidden="1" customHeight="1" x14ac:dyDescent="0.2">
      <c r="A267" s="451" t="s">
        <v>1229</v>
      </c>
      <c r="B267" s="306" t="s">
        <v>623</v>
      </c>
      <c r="C267" s="354" t="s">
        <v>605</v>
      </c>
      <c r="D267" s="354" t="s">
        <v>620</v>
      </c>
      <c r="E267" s="450" t="s">
        <v>1228</v>
      </c>
      <c r="F267" s="450"/>
      <c r="G267" s="498">
        <f>G268</f>
        <v>0</v>
      </c>
      <c r="H267" s="498">
        <f>H268</f>
        <v>0</v>
      </c>
      <c r="I267" s="591">
        <f>I268</f>
        <v>0</v>
      </c>
      <c r="J267" s="591">
        <f>J268</f>
        <v>0</v>
      </c>
      <c r="K267" s="591">
        <f t="shared" si="82"/>
        <v>0</v>
      </c>
      <c r="L267" s="591">
        <f t="shared" si="83"/>
        <v>0</v>
      </c>
      <c r="M267" s="217">
        <f t="shared" si="73"/>
        <v>0</v>
      </c>
      <c r="N267" s="130"/>
      <c r="R267" s="591">
        <f>R268</f>
        <v>1153.5083999999999</v>
      </c>
      <c r="S267" s="591">
        <f>S268</f>
        <v>0</v>
      </c>
      <c r="T267" s="217"/>
      <c r="U267" s="498">
        <f t="shared" si="97"/>
        <v>0</v>
      </c>
      <c r="V267" s="498">
        <f t="shared" si="97"/>
        <v>0</v>
      </c>
      <c r="W267" s="203"/>
      <c r="X267" s="203"/>
    </row>
    <row r="268" spans="1:24" ht="16.5" hidden="1" customHeight="1" x14ac:dyDescent="0.2">
      <c r="A268" s="124" t="s">
        <v>834</v>
      </c>
      <c r="B268" s="243" t="s">
        <v>623</v>
      </c>
      <c r="C268" s="353" t="s">
        <v>605</v>
      </c>
      <c r="D268" s="353" t="s">
        <v>620</v>
      </c>
      <c r="E268" s="369" t="s">
        <v>1228</v>
      </c>
      <c r="F268" s="369" t="s">
        <v>634</v>
      </c>
      <c r="G268" s="288"/>
      <c r="H268" s="288"/>
      <c r="I268" s="288"/>
      <c r="J268" s="288"/>
      <c r="K268" s="43">
        <f t="shared" si="82"/>
        <v>0</v>
      </c>
      <c r="L268" s="43">
        <f t="shared" si="83"/>
        <v>0</v>
      </c>
      <c r="M268" s="217">
        <f t="shared" si="73"/>
        <v>0</v>
      </c>
      <c r="N268" s="130"/>
      <c r="R268" s="288">
        <v>1153.5083999999999</v>
      </c>
      <c r="S268" s="288"/>
      <c r="T268" s="217"/>
      <c r="U268" s="288">
        <v>0</v>
      </c>
      <c r="V268" s="288"/>
      <c r="W268" s="203"/>
      <c r="X268" s="203"/>
    </row>
    <row r="269" spans="1:24" s="307" customFormat="1" ht="25.5" x14ac:dyDescent="0.2">
      <c r="A269" s="746" t="s">
        <v>1247</v>
      </c>
      <c r="B269" s="306" t="s">
        <v>623</v>
      </c>
      <c r="C269" s="354" t="s">
        <v>605</v>
      </c>
      <c r="D269" s="354" t="s">
        <v>620</v>
      </c>
      <c r="E269" s="506" t="s">
        <v>1268</v>
      </c>
      <c r="F269" s="495"/>
      <c r="G269" s="591">
        <f>G270+G271+G272</f>
        <v>15376.715</v>
      </c>
      <c r="H269" s="591">
        <f>H270+H271+H272</f>
        <v>0</v>
      </c>
      <c r="I269" s="591">
        <f>I270+I271+I272</f>
        <v>15140.62924</v>
      </c>
      <c r="J269" s="591">
        <f>J270+J271+J272</f>
        <v>0</v>
      </c>
      <c r="K269" s="591">
        <f t="shared" si="82"/>
        <v>-236.08575999999994</v>
      </c>
      <c r="L269" s="591">
        <f t="shared" si="83"/>
        <v>0</v>
      </c>
      <c r="M269" s="217">
        <f>I269-G269-K269</f>
        <v>0</v>
      </c>
      <c r="N269" s="312"/>
      <c r="R269" s="591">
        <f>R270+R271+R272</f>
        <v>472.6</v>
      </c>
      <c r="S269" s="591">
        <f>S270+S271+S272</f>
        <v>0</v>
      </c>
      <c r="T269" s="309"/>
      <c r="U269" s="498">
        <f>U270+U271+U272</f>
        <v>73.605999999999995</v>
      </c>
      <c r="V269" s="498">
        <f>V270+V271+V272</f>
        <v>0</v>
      </c>
      <c r="W269" s="310">
        <f>G269-I269</f>
        <v>236.08575999999994</v>
      </c>
      <c r="X269" s="310">
        <f>K269+W269</f>
        <v>0</v>
      </c>
    </row>
    <row r="270" spans="1:24" ht="15" x14ac:dyDescent="0.2">
      <c r="A270" s="739" t="s">
        <v>655</v>
      </c>
      <c r="B270" s="243" t="s">
        <v>623</v>
      </c>
      <c r="C270" s="353" t="s">
        <v>605</v>
      </c>
      <c r="D270" s="353" t="s">
        <v>620</v>
      </c>
      <c r="E270" s="386" t="s">
        <v>1268</v>
      </c>
      <c r="F270" s="369" t="s">
        <v>189</v>
      </c>
      <c r="G270" s="288">
        <v>11810.072</v>
      </c>
      <c r="H270" s="288"/>
      <c r="I270" s="288">
        <v>12262.354450000001</v>
      </c>
      <c r="J270" s="288"/>
      <c r="K270" s="43">
        <f t="shared" si="82"/>
        <v>452.28245000000061</v>
      </c>
      <c r="L270" s="43">
        <f t="shared" si="83"/>
        <v>0</v>
      </c>
      <c r="M270" s="217">
        <f>I270-G270-K270</f>
        <v>0</v>
      </c>
      <c r="N270" s="130"/>
      <c r="R270" s="288">
        <v>362.98</v>
      </c>
      <c r="S270" s="288"/>
      <c r="T270" s="217"/>
      <c r="U270" s="288">
        <v>56.533000000000001</v>
      </c>
      <c r="V270" s="288">
        <v>0</v>
      </c>
      <c r="W270" s="203">
        <f>G270-I270</f>
        <v>-452.28245000000061</v>
      </c>
      <c r="X270" s="203">
        <f>K270+W270</f>
        <v>0</v>
      </c>
    </row>
    <row r="271" spans="1:24" ht="25.5" x14ac:dyDescent="0.2">
      <c r="A271" s="744" t="s">
        <v>534</v>
      </c>
      <c r="B271" s="243" t="s">
        <v>623</v>
      </c>
      <c r="C271" s="353" t="s">
        <v>605</v>
      </c>
      <c r="D271" s="353" t="s">
        <v>620</v>
      </c>
      <c r="E271" s="386" t="s">
        <v>1268</v>
      </c>
      <c r="F271" s="369" t="s">
        <v>535</v>
      </c>
      <c r="G271" s="288">
        <v>3566.643</v>
      </c>
      <c r="H271" s="288"/>
      <c r="I271" s="288">
        <v>2878.2747899999999</v>
      </c>
      <c r="J271" s="288"/>
      <c r="K271" s="43">
        <f t="shared" si="82"/>
        <v>-688.36821000000009</v>
      </c>
      <c r="L271" s="43">
        <f t="shared" si="83"/>
        <v>0</v>
      </c>
      <c r="M271" s="217">
        <f>I271-G271-K271</f>
        <v>0</v>
      </c>
      <c r="N271" s="130"/>
      <c r="R271" s="288">
        <v>109.62</v>
      </c>
      <c r="S271" s="288"/>
      <c r="T271" s="217"/>
      <c r="U271" s="288">
        <v>17.073</v>
      </c>
      <c r="V271" s="288">
        <v>0</v>
      </c>
      <c r="W271" s="203">
        <f>G271-I271</f>
        <v>688.36821000000009</v>
      </c>
      <c r="X271" s="203">
        <f>K271+W271</f>
        <v>0</v>
      </c>
    </row>
    <row r="272" spans="1:24" ht="16.5" hidden="1" customHeight="1" x14ac:dyDescent="0.2">
      <c r="A272" s="124" t="s">
        <v>834</v>
      </c>
      <c r="B272" s="243" t="s">
        <v>623</v>
      </c>
      <c r="C272" s="353" t="s">
        <v>605</v>
      </c>
      <c r="D272" s="353" t="s">
        <v>620</v>
      </c>
      <c r="E272" s="386" t="s">
        <v>1268</v>
      </c>
      <c r="F272" s="369" t="s">
        <v>634</v>
      </c>
      <c r="G272" s="288"/>
      <c r="H272" s="288"/>
      <c r="I272" s="288"/>
      <c r="J272" s="288"/>
      <c r="K272" s="43">
        <f t="shared" si="82"/>
        <v>0</v>
      </c>
      <c r="L272" s="43">
        <f t="shared" si="83"/>
        <v>0</v>
      </c>
      <c r="M272" s="217">
        <f>I272-G272-K272</f>
        <v>0</v>
      </c>
      <c r="N272" s="130"/>
      <c r="P272" s="299"/>
      <c r="Q272" s="299"/>
      <c r="R272" s="288"/>
      <c r="S272" s="288"/>
      <c r="T272" s="217"/>
      <c r="U272" s="288"/>
      <c r="V272" s="288"/>
      <c r="W272" s="203">
        <f>G272-I272</f>
        <v>0</v>
      </c>
      <c r="X272" s="203">
        <f>K272+W272</f>
        <v>0</v>
      </c>
    </row>
    <row r="273" spans="1:24" s="307" customFormat="1" ht="25.5" x14ac:dyDescent="0.2">
      <c r="A273" s="746" t="s">
        <v>2004</v>
      </c>
      <c r="B273" s="306" t="s">
        <v>623</v>
      </c>
      <c r="C273" s="354" t="s">
        <v>605</v>
      </c>
      <c r="D273" s="354" t="s">
        <v>620</v>
      </c>
      <c r="E273" s="719" t="s">
        <v>2003</v>
      </c>
      <c r="F273" s="450"/>
      <c r="G273" s="591">
        <f>G274+G275+G276+G277</f>
        <v>0</v>
      </c>
      <c r="H273" s="591">
        <f>H274+H275+H276+H277</f>
        <v>0</v>
      </c>
      <c r="I273" s="591">
        <f>I274+I275+I276+I277</f>
        <v>9956.3838500000002</v>
      </c>
      <c r="J273" s="591">
        <f>J274+J275+J276+J277</f>
        <v>0</v>
      </c>
      <c r="K273" s="591">
        <f t="shared" si="82"/>
        <v>9956.3838500000002</v>
      </c>
      <c r="L273" s="591">
        <f t="shared" si="83"/>
        <v>0</v>
      </c>
      <c r="M273" s="217">
        <f t="shared" si="73"/>
        <v>0</v>
      </c>
      <c r="N273" s="312"/>
      <c r="R273" s="591">
        <f>R274+R275+R276+R277</f>
        <v>11854.067000000001</v>
      </c>
      <c r="S273" s="591">
        <f>S274+S275+S276+S277</f>
        <v>0</v>
      </c>
      <c r="T273" s="309"/>
      <c r="U273" s="498">
        <f>U274+U275+U276+U277</f>
        <v>5527.6509999999998</v>
      </c>
      <c r="V273" s="498">
        <f>V274+V275+V276+V277</f>
        <v>0</v>
      </c>
      <c r="W273" s="310">
        <f t="shared" si="93"/>
        <v>-9956.3838500000002</v>
      </c>
      <c r="X273" s="310">
        <f t="shared" si="94"/>
        <v>0</v>
      </c>
    </row>
    <row r="274" spans="1:24" ht="15" x14ac:dyDescent="0.2">
      <c r="A274" s="739" t="s">
        <v>655</v>
      </c>
      <c r="B274" s="243" t="s">
        <v>623</v>
      </c>
      <c r="C274" s="353" t="s">
        <v>605</v>
      </c>
      <c r="D274" s="353" t="s">
        <v>620</v>
      </c>
      <c r="E274" s="369" t="s">
        <v>2003</v>
      </c>
      <c r="F274" s="369" t="s">
        <v>189</v>
      </c>
      <c r="G274" s="288"/>
      <c r="H274" s="288"/>
      <c r="I274" s="288">
        <v>6574.67</v>
      </c>
      <c r="J274" s="288"/>
      <c r="K274" s="43">
        <f t="shared" si="82"/>
        <v>6574.67</v>
      </c>
      <c r="L274" s="43">
        <f t="shared" si="83"/>
        <v>0</v>
      </c>
      <c r="M274" s="217">
        <f t="shared" si="73"/>
        <v>0</v>
      </c>
      <c r="N274" s="130"/>
      <c r="R274" s="288">
        <v>9104.5030000000006</v>
      </c>
      <c r="S274" s="288"/>
      <c r="T274" s="217"/>
      <c r="U274" s="288">
        <v>3463.1280000000002</v>
      </c>
      <c r="V274" s="288">
        <v>0</v>
      </c>
      <c r="W274" s="203">
        <f t="shared" si="93"/>
        <v>-6574.67</v>
      </c>
      <c r="X274" s="203">
        <f t="shared" si="94"/>
        <v>0</v>
      </c>
    </row>
    <row r="275" spans="1:24" ht="25.5" x14ac:dyDescent="0.2">
      <c r="A275" s="744" t="s">
        <v>534</v>
      </c>
      <c r="B275" s="243" t="s">
        <v>623</v>
      </c>
      <c r="C275" s="353" t="s">
        <v>605</v>
      </c>
      <c r="D275" s="353" t="s">
        <v>620</v>
      </c>
      <c r="E275" s="369" t="s">
        <v>2003</v>
      </c>
      <c r="F275" s="369" t="s">
        <v>535</v>
      </c>
      <c r="G275" s="288"/>
      <c r="H275" s="288"/>
      <c r="I275" s="288">
        <v>2002.788</v>
      </c>
      <c r="J275" s="288"/>
      <c r="K275" s="43">
        <f t="shared" si="82"/>
        <v>2002.788</v>
      </c>
      <c r="L275" s="43">
        <f t="shared" si="83"/>
        <v>0</v>
      </c>
      <c r="M275" s="217">
        <f t="shared" ref="M275:M368" si="98">I275-G275-K275</f>
        <v>0</v>
      </c>
      <c r="N275" s="130"/>
      <c r="R275" s="288">
        <v>2749.5639999999999</v>
      </c>
      <c r="S275" s="288"/>
      <c r="T275" s="217"/>
      <c r="U275" s="288">
        <v>1146.8230000000001</v>
      </c>
      <c r="V275" s="288">
        <v>0</v>
      </c>
      <c r="W275" s="203">
        <f t="shared" si="93"/>
        <v>-2002.788</v>
      </c>
      <c r="X275" s="203">
        <f t="shared" si="94"/>
        <v>0</v>
      </c>
    </row>
    <row r="276" spans="1:24" ht="16.5" hidden="1" customHeight="1" x14ac:dyDescent="0.2">
      <c r="A276" s="124" t="s">
        <v>834</v>
      </c>
      <c r="B276" s="243" t="s">
        <v>623</v>
      </c>
      <c r="C276" s="353" t="s">
        <v>605</v>
      </c>
      <c r="D276" s="353" t="s">
        <v>620</v>
      </c>
      <c r="E276" s="369" t="s">
        <v>2003</v>
      </c>
      <c r="F276" s="369" t="s">
        <v>634</v>
      </c>
      <c r="G276" s="288"/>
      <c r="H276" s="288"/>
      <c r="I276" s="288"/>
      <c r="J276" s="288"/>
      <c r="K276" s="43">
        <f t="shared" si="82"/>
        <v>0</v>
      </c>
      <c r="L276" s="43">
        <f t="shared" si="83"/>
        <v>0</v>
      </c>
      <c r="M276" s="217">
        <f t="shared" si="98"/>
        <v>0</v>
      </c>
      <c r="N276" s="130"/>
      <c r="P276" s="299"/>
      <c r="Q276" s="299"/>
      <c r="R276" s="288"/>
      <c r="S276" s="288"/>
      <c r="T276" s="217"/>
      <c r="U276" s="288">
        <v>97.3</v>
      </c>
      <c r="V276" s="288"/>
      <c r="W276" s="203">
        <f t="shared" si="93"/>
        <v>0</v>
      </c>
      <c r="X276" s="203">
        <f t="shared" si="94"/>
        <v>0</v>
      </c>
    </row>
    <row r="277" spans="1:24" ht="12" customHeight="1" x14ac:dyDescent="0.2">
      <c r="A277" s="739" t="s">
        <v>1248</v>
      </c>
      <c r="B277" s="243" t="s">
        <v>623</v>
      </c>
      <c r="C277" s="353" t="s">
        <v>605</v>
      </c>
      <c r="D277" s="353" t="s">
        <v>620</v>
      </c>
      <c r="E277" s="369" t="s">
        <v>2003</v>
      </c>
      <c r="F277" s="369">
        <v>247</v>
      </c>
      <c r="G277" s="288"/>
      <c r="H277" s="288"/>
      <c r="I277" s="288">
        <v>1378.9258500000001</v>
      </c>
      <c r="J277" s="288"/>
      <c r="K277" s="43">
        <f t="shared" si="82"/>
        <v>1378.9258500000001</v>
      </c>
      <c r="L277" s="43">
        <f t="shared" si="83"/>
        <v>0</v>
      </c>
      <c r="M277" s="217">
        <f t="shared" si="98"/>
        <v>0</v>
      </c>
      <c r="N277" s="171"/>
      <c r="P277" s="206"/>
      <c r="Q277" s="212"/>
      <c r="R277" s="288"/>
      <c r="S277" s="288"/>
      <c r="T277" s="217">
        <f>I277-G277</f>
        <v>1378.9258500000001</v>
      </c>
      <c r="U277" s="288">
        <v>820.4</v>
      </c>
      <c r="V277" s="288">
        <v>0</v>
      </c>
      <c r="W277" s="203">
        <f>G277-I277</f>
        <v>-1378.9258500000001</v>
      </c>
      <c r="X277" s="203">
        <f>K277+W277</f>
        <v>0</v>
      </c>
    </row>
    <row r="278" spans="1:24" s="307" customFormat="1" ht="12" hidden="1" customHeight="1" x14ac:dyDescent="0.2">
      <c r="A278" s="451" t="s">
        <v>477</v>
      </c>
      <c r="B278" s="306" t="s">
        <v>623</v>
      </c>
      <c r="C278" s="354" t="s">
        <v>606</v>
      </c>
      <c r="D278" s="354"/>
      <c r="E278" s="450"/>
      <c r="F278" s="450"/>
      <c r="G278" s="498">
        <f t="shared" ref="G278:J281" si="99">G279</f>
        <v>0</v>
      </c>
      <c r="H278" s="498">
        <f t="shared" si="99"/>
        <v>0</v>
      </c>
      <c r="I278" s="591">
        <f t="shared" si="99"/>
        <v>0</v>
      </c>
      <c r="J278" s="591">
        <f t="shared" si="99"/>
        <v>0</v>
      </c>
      <c r="K278" s="591">
        <f t="shared" si="82"/>
        <v>0</v>
      </c>
      <c r="L278" s="591">
        <f t="shared" si="83"/>
        <v>0</v>
      </c>
      <c r="M278" s="217">
        <f t="shared" si="98"/>
        <v>0</v>
      </c>
      <c r="N278" s="312"/>
      <c r="P278" s="313"/>
      <c r="Q278" s="313"/>
      <c r="R278" s="591">
        <f t="shared" ref="R278:S281" si="100">R279</f>
        <v>0</v>
      </c>
      <c r="S278" s="591">
        <f t="shared" si="100"/>
        <v>0</v>
      </c>
      <c r="T278" s="309">
        <f t="shared" ref="T278:T352" si="101">I278-G278</f>
        <v>0</v>
      </c>
      <c r="U278" s="498">
        <f t="shared" ref="U278:V281" si="102">U279</f>
        <v>0</v>
      </c>
      <c r="V278" s="498">
        <f t="shared" si="102"/>
        <v>0</v>
      </c>
      <c r="W278" s="310">
        <f t="shared" si="93"/>
        <v>0</v>
      </c>
      <c r="X278" s="310">
        <f t="shared" si="94"/>
        <v>0</v>
      </c>
    </row>
    <row r="279" spans="1:24" s="307" customFormat="1" ht="25.5" hidden="1" customHeight="1" x14ac:dyDescent="0.2">
      <c r="A279" s="451" t="s">
        <v>480</v>
      </c>
      <c r="B279" s="306" t="s">
        <v>623</v>
      </c>
      <c r="C279" s="354" t="s">
        <v>606</v>
      </c>
      <c r="D279" s="354" t="s">
        <v>613</v>
      </c>
      <c r="E279" s="450"/>
      <c r="F279" s="450"/>
      <c r="G279" s="498">
        <f t="shared" si="99"/>
        <v>0</v>
      </c>
      <c r="H279" s="498">
        <f t="shared" si="99"/>
        <v>0</v>
      </c>
      <c r="I279" s="591">
        <f t="shared" si="99"/>
        <v>0</v>
      </c>
      <c r="J279" s="591">
        <f t="shared" si="99"/>
        <v>0</v>
      </c>
      <c r="K279" s="591">
        <f t="shared" si="82"/>
        <v>0</v>
      </c>
      <c r="L279" s="591">
        <f t="shared" si="83"/>
        <v>0</v>
      </c>
      <c r="M279" s="217">
        <f t="shared" si="98"/>
        <v>0</v>
      </c>
      <c r="N279" s="312"/>
      <c r="P279" s="313"/>
      <c r="Q279" s="313"/>
      <c r="R279" s="591">
        <f t="shared" si="100"/>
        <v>0</v>
      </c>
      <c r="S279" s="591">
        <f t="shared" si="100"/>
        <v>0</v>
      </c>
      <c r="T279" s="309">
        <f t="shared" si="101"/>
        <v>0</v>
      </c>
      <c r="U279" s="498">
        <f t="shared" si="102"/>
        <v>0</v>
      </c>
      <c r="V279" s="498">
        <f t="shared" si="102"/>
        <v>0</v>
      </c>
      <c r="W279" s="310">
        <f t="shared" si="93"/>
        <v>0</v>
      </c>
      <c r="X279" s="310">
        <f t="shared" si="94"/>
        <v>0</v>
      </c>
    </row>
    <row r="280" spans="1:24" s="307" customFormat="1" ht="12" hidden="1" customHeight="1" x14ac:dyDescent="0.2">
      <c r="A280" s="451" t="s">
        <v>65</v>
      </c>
      <c r="B280" s="306" t="s">
        <v>623</v>
      </c>
      <c r="C280" s="354" t="s">
        <v>606</v>
      </c>
      <c r="D280" s="354" t="s">
        <v>613</v>
      </c>
      <c r="E280" s="450" t="s">
        <v>312</v>
      </c>
      <c r="F280" s="450"/>
      <c r="G280" s="498">
        <f t="shared" si="99"/>
        <v>0</v>
      </c>
      <c r="H280" s="498">
        <f t="shared" si="99"/>
        <v>0</v>
      </c>
      <c r="I280" s="591">
        <f t="shared" si="99"/>
        <v>0</v>
      </c>
      <c r="J280" s="591">
        <f t="shared" si="99"/>
        <v>0</v>
      </c>
      <c r="K280" s="591">
        <f t="shared" si="82"/>
        <v>0</v>
      </c>
      <c r="L280" s="591">
        <f t="shared" si="83"/>
        <v>0</v>
      </c>
      <c r="M280" s="217">
        <f t="shared" si="98"/>
        <v>0</v>
      </c>
      <c r="N280" s="312"/>
      <c r="P280" s="313"/>
      <c r="Q280" s="313"/>
      <c r="R280" s="591">
        <f t="shared" si="100"/>
        <v>0</v>
      </c>
      <c r="S280" s="591">
        <f t="shared" si="100"/>
        <v>0</v>
      </c>
      <c r="T280" s="309">
        <f t="shared" si="101"/>
        <v>0</v>
      </c>
      <c r="U280" s="498">
        <f t="shared" si="102"/>
        <v>0</v>
      </c>
      <c r="V280" s="498">
        <f t="shared" si="102"/>
        <v>0</v>
      </c>
      <c r="W280" s="310">
        <f t="shared" si="93"/>
        <v>0</v>
      </c>
      <c r="X280" s="310">
        <f t="shared" si="94"/>
        <v>0</v>
      </c>
    </row>
    <row r="281" spans="1:24" s="307" customFormat="1" ht="39" hidden="1" customHeight="1" x14ac:dyDescent="0.2">
      <c r="A281" s="451" t="s">
        <v>773</v>
      </c>
      <c r="B281" s="306" t="s">
        <v>623</v>
      </c>
      <c r="C281" s="354" t="s">
        <v>606</v>
      </c>
      <c r="D281" s="354" t="s">
        <v>613</v>
      </c>
      <c r="E281" s="450" t="s">
        <v>772</v>
      </c>
      <c r="F281" s="450"/>
      <c r="G281" s="498">
        <f t="shared" si="99"/>
        <v>0</v>
      </c>
      <c r="H281" s="498">
        <f t="shared" si="99"/>
        <v>0</v>
      </c>
      <c r="I281" s="591">
        <f t="shared" si="99"/>
        <v>0</v>
      </c>
      <c r="J281" s="591">
        <f t="shared" si="99"/>
        <v>0</v>
      </c>
      <c r="K281" s="591">
        <f t="shared" si="82"/>
        <v>0</v>
      </c>
      <c r="L281" s="591">
        <f t="shared" si="83"/>
        <v>0</v>
      </c>
      <c r="M281" s="217">
        <f t="shared" si="98"/>
        <v>0</v>
      </c>
      <c r="N281" s="312"/>
      <c r="P281" s="313"/>
      <c r="Q281" s="313"/>
      <c r="R281" s="591">
        <f t="shared" si="100"/>
        <v>0</v>
      </c>
      <c r="S281" s="591">
        <f t="shared" si="100"/>
        <v>0</v>
      </c>
      <c r="T281" s="309">
        <f t="shared" si="101"/>
        <v>0</v>
      </c>
      <c r="U281" s="498">
        <f t="shared" si="102"/>
        <v>0</v>
      </c>
      <c r="V281" s="498">
        <f t="shared" si="102"/>
        <v>0</v>
      </c>
      <c r="W281" s="310">
        <f t="shared" si="93"/>
        <v>0</v>
      </c>
      <c r="X281" s="310">
        <f t="shared" si="94"/>
        <v>0</v>
      </c>
    </row>
    <row r="282" spans="1:24" ht="17.25" hidden="1" customHeight="1" x14ac:dyDescent="0.2">
      <c r="A282" s="124" t="s">
        <v>834</v>
      </c>
      <c r="B282" s="243" t="s">
        <v>623</v>
      </c>
      <c r="C282" s="353" t="s">
        <v>606</v>
      </c>
      <c r="D282" s="353" t="s">
        <v>613</v>
      </c>
      <c r="E282" s="369" t="s">
        <v>772</v>
      </c>
      <c r="F282" s="369" t="s">
        <v>634</v>
      </c>
      <c r="G282" s="288"/>
      <c r="H282" s="288"/>
      <c r="I282" s="288"/>
      <c r="J282" s="288"/>
      <c r="K282" s="43">
        <f t="shared" si="82"/>
        <v>0</v>
      </c>
      <c r="L282" s="43">
        <f t="shared" si="83"/>
        <v>0</v>
      </c>
      <c r="M282" s="217">
        <f t="shared" si="98"/>
        <v>0</v>
      </c>
      <c r="N282" s="130"/>
      <c r="P282" s="299"/>
      <c r="Q282" s="299"/>
      <c r="R282" s="288"/>
      <c r="S282" s="288"/>
      <c r="T282" s="217">
        <f t="shared" si="101"/>
        <v>0</v>
      </c>
      <c r="U282" s="288"/>
      <c r="V282" s="288"/>
      <c r="W282" s="203">
        <f t="shared" si="93"/>
        <v>0</v>
      </c>
      <c r="X282" s="203">
        <f t="shared" si="94"/>
        <v>0</v>
      </c>
    </row>
    <row r="283" spans="1:24" s="314" customFormat="1" ht="31.5" x14ac:dyDescent="0.25">
      <c r="A283" s="743" t="s">
        <v>639</v>
      </c>
      <c r="B283" s="66" t="s">
        <v>644</v>
      </c>
      <c r="C283" s="346"/>
      <c r="D283" s="346"/>
      <c r="E283" s="373"/>
      <c r="F283" s="373"/>
      <c r="G283" s="126">
        <f>G357+G284+G488+G475+G469</f>
        <v>10135.496319999998</v>
      </c>
      <c r="H283" s="126">
        <f>H357+H284+H488+H475+H469</f>
        <v>158.97552999999999</v>
      </c>
      <c r="I283" s="126">
        <f>I357+I284+I488+I475+I469</f>
        <v>12809.21041</v>
      </c>
      <c r="J283" s="126">
        <f>J357+J284+J488+J475+J469</f>
        <v>368.97552999999999</v>
      </c>
      <c r="K283" s="126">
        <f t="shared" si="82"/>
        <v>2673.7140900000013</v>
      </c>
      <c r="L283" s="126">
        <f t="shared" si="83"/>
        <v>210</v>
      </c>
      <c r="M283" s="217">
        <f t="shared" si="98"/>
        <v>0</v>
      </c>
      <c r="N283" s="315" t="e">
        <f>N357+N284+N488</f>
        <v>#REF!</v>
      </c>
      <c r="R283" s="126">
        <f>R357+R284+R488+R475+R469</f>
        <v>9752.8686999999991</v>
      </c>
      <c r="S283" s="126">
        <f>S357+S284+S488+S475+S469</f>
        <v>2120.6764400000002</v>
      </c>
      <c r="T283" s="309">
        <f t="shared" si="101"/>
        <v>2673.7140900000013</v>
      </c>
      <c r="U283" s="126">
        <f>U357+U284+U488+U475+U469</f>
        <v>27028.125370000002</v>
      </c>
      <c r="V283" s="126">
        <f>V357+V284+V488+V475+V469</f>
        <v>20083.091489999999</v>
      </c>
      <c r="W283" s="310">
        <f t="shared" si="93"/>
        <v>-2673.7140900000013</v>
      </c>
      <c r="X283" s="310">
        <f t="shared" si="94"/>
        <v>0</v>
      </c>
    </row>
    <row r="284" spans="1:24" s="314" customFormat="1" ht="15" x14ac:dyDescent="0.2">
      <c r="A284" s="746" t="s">
        <v>156</v>
      </c>
      <c r="B284" s="306" t="s">
        <v>644</v>
      </c>
      <c r="C284" s="354" t="s">
        <v>605</v>
      </c>
      <c r="D284" s="354"/>
      <c r="E284" s="450"/>
      <c r="F284" s="450"/>
      <c r="G284" s="591">
        <f>G285</f>
        <v>6596.4835700000003</v>
      </c>
      <c r="H284" s="591">
        <f>H285</f>
        <v>0</v>
      </c>
      <c r="I284" s="591">
        <f>I285</f>
        <v>9435.6436600000015</v>
      </c>
      <c r="J284" s="591">
        <f>J285</f>
        <v>210</v>
      </c>
      <c r="K284" s="591">
        <f t="shared" si="82"/>
        <v>2839.1600900000012</v>
      </c>
      <c r="L284" s="591">
        <f t="shared" si="83"/>
        <v>210</v>
      </c>
      <c r="M284" s="217">
        <f t="shared" si="98"/>
        <v>0</v>
      </c>
      <c r="N284" s="312">
        <f>N285</f>
        <v>5336.8920000000007</v>
      </c>
      <c r="P284" s="316"/>
      <c r="Q284" s="316"/>
      <c r="R284" s="591">
        <f>R285</f>
        <v>6431.0730599999997</v>
      </c>
      <c r="S284" s="591">
        <f>S285</f>
        <v>0</v>
      </c>
      <c r="T284" s="309">
        <f t="shared" si="101"/>
        <v>2839.1600900000012</v>
      </c>
      <c r="U284" s="498">
        <f>U285</f>
        <v>4739.9087</v>
      </c>
      <c r="V284" s="498">
        <f>V285</f>
        <v>0</v>
      </c>
      <c r="W284" s="310">
        <f t="shared" si="93"/>
        <v>-2839.1600900000012</v>
      </c>
      <c r="X284" s="310">
        <f t="shared" si="94"/>
        <v>0</v>
      </c>
    </row>
    <row r="285" spans="1:24" s="314" customFormat="1" ht="15" x14ac:dyDescent="0.2">
      <c r="A285" s="746" t="s">
        <v>210</v>
      </c>
      <c r="B285" s="306" t="s">
        <v>644</v>
      </c>
      <c r="C285" s="354" t="s">
        <v>605</v>
      </c>
      <c r="D285" s="354" t="s">
        <v>620</v>
      </c>
      <c r="E285" s="450"/>
      <c r="F285" s="450"/>
      <c r="G285" s="591">
        <f>G329+G286+G318+G322</f>
        <v>6596.4835700000003</v>
      </c>
      <c r="H285" s="591">
        <f>H329+H286+H318+H322</f>
        <v>0</v>
      </c>
      <c r="I285" s="591">
        <f>I329+I286+I318+I322</f>
        <v>9435.6436600000015</v>
      </c>
      <c r="J285" s="591">
        <f>J329+J286+J318+J322</f>
        <v>210</v>
      </c>
      <c r="K285" s="591">
        <f t="shared" si="82"/>
        <v>2839.1600900000012</v>
      </c>
      <c r="L285" s="591">
        <f t="shared" si="83"/>
        <v>210</v>
      </c>
      <c r="M285" s="217">
        <f t="shared" si="98"/>
        <v>0</v>
      </c>
      <c r="N285" s="312">
        <f>N329+N286</f>
        <v>5336.8920000000007</v>
      </c>
      <c r="R285" s="591">
        <f>R329+R286+R318+R322</f>
        <v>6431.0730599999997</v>
      </c>
      <c r="S285" s="591">
        <f>S329+S286+S318+S322</f>
        <v>0</v>
      </c>
      <c r="T285" s="309">
        <f t="shared" si="101"/>
        <v>2839.1600900000012</v>
      </c>
      <c r="U285" s="498">
        <f>U329+U286+U318</f>
        <v>4739.9087</v>
      </c>
      <c r="V285" s="498">
        <f>V329+V286+V318</f>
        <v>0</v>
      </c>
      <c r="W285" s="310">
        <f t="shared" si="93"/>
        <v>-2839.1600900000012</v>
      </c>
      <c r="X285" s="310">
        <f t="shared" si="94"/>
        <v>0</v>
      </c>
    </row>
    <row r="286" spans="1:24" s="307" customFormat="1" ht="15" x14ac:dyDescent="0.2">
      <c r="A286" s="746" t="s">
        <v>538</v>
      </c>
      <c r="B286" s="306" t="s">
        <v>644</v>
      </c>
      <c r="C286" s="354" t="s">
        <v>605</v>
      </c>
      <c r="D286" s="354" t="s">
        <v>620</v>
      </c>
      <c r="E286" s="450" t="s">
        <v>539</v>
      </c>
      <c r="F286" s="450"/>
      <c r="G286" s="591">
        <f>G287</f>
        <v>5970.2823699999999</v>
      </c>
      <c r="H286" s="591">
        <f>H287</f>
        <v>0</v>
      </c>
      <c r="I286" s="591">
        <f>I287</f>
        <v>8438.3284600000006</v>
      </c>
      <c r="J286" s="591">
        <f>J287</f>
        <v>0</v>
      </c>
      <c r="K286" s="591">
        <f t="shared" si="82"/>
        <v>2468.0460900000007</v>
      </c>
      <c r="L286" s="591">
        <f t="shared" si="83"/>
        <v>0</v>
      </c>
      <c r="M286" s="217">
        <f t="shared" si="98"/>
        <v>0</v>
      </c>
      <c r="N286" s="292">
        <f>N287</f>
        <v>254.5</v>
      </c>
      <c r="R286" s="591">
        <f>R287</f>
        <v>5961.3730599999999</v>
      </c>
      <c r="S286" s="591">
        <f>S287</f>
        <v>0</v>
      </c>
      <c r="T286" s="309">
        <f t="shared" si="101"/>
        <v>2468.0460900000007</v>
      </c>
      <c r="U286" s="498">
        <f>U287</f>
        <v>4416.4087</v>
      </c>
      <c r="V286" s="498">
        <f>V287</f>
        <v>0</v>
      </c>
      <c r="W286" s="310">
        <f t="shared" si="93"/>
        <v>-2468.0460900000007</v>
      </c>
      <c r="X286" s="310">
        <f t="shared" si="94"/>
        <v>0</v>
      </c>
    </row>
    <row r="287" spans="1:24" s="307" customFormat="1" ht="15" x14ac:dyDescent="0.2">
      <c r="A287" s="746" t="s">
        <v>1281</v>
      </c>
      <c r="B287" s="306" t="s">
        <v>644</v>
      </c>
      <c r="C287" s="354" t="s">
        <v>605</v>
      </c>
      <c r="D287" s="354" t="s">
        <v>620</v>
      </c>
      <c r="E287" s="450">
        <v>8170000000</v>
      </c>
      <c r="F287" s="450"/>
      <c r="G287" s="591">
        <f>G288+G315+G312</f>
        <v>5970.2823699999999</v>
      </c>
      <c r="H287" s="591">
        <f>H288+H315+H312</f>
        <v>0</v>
      </c>
      <c r="I287" s="591">
        <f>I288+I315+I312</f>
        <v>8438.3284600000006</v>
      </c>
      <c r="J287" s="591">
        <f>J288+J315+J312</f>
        <v>0</v>
      </c>
      <c r="K287" s="591">
        <f t="shared" si="82"/>
        <v>2468.0460900000007</v>
      </c>
      <c r="L287" s="591">
        <f t="shared" si="83"/>
        <v>0</v>
      </c>
      <c r="M287" s="217">
        <f t="shared" si="98"/>
        <v>0</v>
      </c>
      <c r="N287" s="292">
        <f>N288</f>
        <v>254.5</v>
      </c>
      <c r="R287" s="591">
        <f>R288+R315+R312</f>
        <v>5961.3730599999999</v>
      </c>
      <c r="S287" s="591">
        <f>S288+S315+S312</f>
        <v>0</v>
      </c>
      <c r="T287" s="309">
        <f t="shared" si="101"/>
        <v>2468.0460900000007</v>
      </c>
      <c r="U287" s="498">
        <f>U288+U315+U312</f>
        <v>4416.4087</v>
      </c>
      <c r="V287" s="498">
        <f>V288+V315+V312</f>
        <v>0</v>
      </c>
      <c r="W287" s="310">
        <f t="shared" si="93"/>
        <v>-2468.0460900000007</v>
      </c>
      <c r="X287" s="310">
        <f t="shared" si="94"/>
        <v>0</v>
      </c>
    </row>
    <row r="288" spans="1:24" s="307" customFormat="1" ht="15" x14ac:dyDescent="0.2">
      <c r="A288" s="746" t="s">
        <v>1282</v>
      </c>
      <c r="B288" s="306" t="s">
        <v>644</v>
      </c>
      <c r="C288" s="354" t="s">
        <v>605</v>
      </c>
      <c r="D288" s="354" t="s">
        <v>620</v>
      </c>
      <c r="E288" s="450">
        <v>8170100000</v>
      </c>
      <c r="F288" s="450"/>
      <c r="G288" s="591">
        <f>G295+G308+G292+G305+G289</f>
        <v>5970.2823699999999</v>
      </c>
      <c r="H288" s="591">
        <f t="shared" ref="H288:L288" si="103">H295+H308+H292+H305+H289</f>
        <v>0</v>
      </c>
      <c r="I288" s="591">
        <f t="shared" si="103"/>
        <v>8438.3284600000006</v>
      </c>
      <c r="J288" s="591">
        <f t="shared" si="103"/>
        <v>0</v>
      </c>
      <c r="K288" s="591">
        <f t="shared" si="103"/>
        <v>2468.0460900000003</v>
      </c>
      <c r="L288" s="591">
        <f t="shared" si="103"/>
        <v>0</v>
      </c>
      <c r="M288" s="217">
        <f t="shared" si="98"/>
        <v>0</v>
      </c>
      <c r="N288" s="292">
        <f>N295</f>
        <v>254.5</v>
      </c>
      <c r="R288" s="591">
        <f>R295+R308+R292+R305</f>
        <v>5961.3730599999999</v>
      </c>
      <c r="S288" s="591">
        <f>S295+S308+S292+S305</f>
        <v>0</v>
      </c>
      <c r="T288" s="309">
        <f t="shared" si="101"/>
        <v>2468.0460900000007</v>
      </c>
      <c r="U288" s="498">
        <f>U295+U308</f>
        <v>4416.4087</v>
      </c>
      <c r="V288" s="498">
        <f>V295+V308</f>
        <v>0</v>
      </c>
      <c r="W288" s="310">
        <f t="shared" si="93"/>
        <v>-2468.0460900000007</v>
      </c>
      <c r="X288" s="310">
        <f t="shared" si="94"/>
        <v>0</v>
      </c>
    </row>
    <row r="289" spans="1:24" s="307" customFormat="1" ht="15" x14ac:dyDescent="0.2">
      <c r="A289" s="746" t="s">
        <v>2005</v>
      </c>
      <c r="B289" s="306" t="s">
        <v>644</v>
      </c>
      <c r="C289" s="354" t="s">
        <v>605</v>
      </c>
      <c r="D289" s="354" t="s">
        <v>620</v>
      </c>
      <c r="E289" s="697">
        <v>8170123680</v>
      </c>
      <c r="F289" s="697"/>
      <c r="G289" s="591">
        <f>G290+G291</f>
        <v>0</v>
      </c>
      <c r="H289" s="591">
        <f>H290+H291</f>
        <v>0</v>
      </c>
      <c r="I289" s="591">
        <f>I290+I291</f>
        <v>757.63373999999999</v>
      </c>
      <c r="J289" s="591">
        <f>J290+J291</f>
        <v>0</v>
      </c>
      <c r="K289" s="591">
        <f t="shared" ref="K289:K291" si="104">I289-G289</f>
        <v>757.63373999999999</v>
      </c>
      <c r="L289" s="591">
        <f t="shared" ref="L289:L291" si="105">J289-H289</f>
        <v>0</v>
      </c>
      <c r="M289" s="217"/>
      <c r="N289" s="292"/>
      <c r="R289" s="591"/>
      <c r="S289" s="591"/>
      <c r="T289" s="309"/>
      <c r="U289" s="591"/>
      <c r="V289" s="591"/>
      <c r="W289" s="310"/>
      <c r="X289" s="310"/>
    </row>
    <row r="290" spans="1:24" s="307" customFormat="1" ht="15" x14ac:dyDescent="0.2">
      <c r="A290" s="739" t="s">
        <v>2006</v>
      </c>
      <c r="B290" s="243" t="s">
        <v>644</v>
      </c>
      <c r="C290" s="353" t="s">
        <v>605</v>
      </c>
      <c r="D290" s="353" t="s">
        <v>620</v>
      </c>
      <c r="E290" s="369">
        <v>8170123680</v>
      </c>
      <c r="F290" s="369">
        <v>111</v>
      </c>
      <c r="G290" s="288"/>
      <c r="H290" s="288"/>
      <c r="I290" s="288">
        <v>562.30647999999997</v>
      </c>
      <c r="J290" s="288"/>
      <c r="K290" s="288">
        <f t="shared" si="104"/>
        <v>562.30647999999997</v>
      </c>
      <c r="L290" s="288">
        <f t="shared" si="105"/>
        <v>0</v>
      </c>
      <c r="M290" s="217"/>
      <c r="N290" s="292"/>
      <c r="R290" s="591"/>
      <c r="S290" s="591"/>
      <c r="T290" s="309"/>
      <c r="U290" s="591"/>
      <c r="V290" s="591"/>
      <c r="W290" s="310"/>
      <c r="X290" s="310"/>
    </row>
    <row r="291" spans="1:24" s="307" customFormat="1" ht="25.5" x14ac:dyDescent="0.2">
      <c r="A291" s="739" t="s">
        <v>2007</v>
      </c>
      <c r="B291" s="243" t="s">
        <v>644</v>
      </c>
      <c r="C291" s="353" t="s">
        <v>605</v>
      </c>
      <c r="D291" s="353" t="s">
        <v>620</v>
      </c>
      <c r="E291" s="369">
        <v>8170123680</v>
      </c>
      <c r="F291" s="369">
        <v>119</v>
      </c>
      <c r="G291" s="288"/>
      <c r="H291" s="288"/>
      <c r="I291" s="288">
        <v>195.32726</v>
      </c>
      <c r="J291" s="288"/>
      <c r="K291" s="288">
        <f t="shared" si="104"/>
        <v>195.32726</v>
      </c>
      <c r="L291" s="288">
        <f t="shared" si="105"/>
        <v>0</v>
      </c>
      <c r="M291" s="217"/>
      <c r="N291" s="292"/>
      <c r="R291" s="591"/>
      <c r="S291" s="591"/>
      <c r="T291" s="309"/>
      <c r="U291" s="591"/>
      <c r="V291" s="591"/>
      <c r="W291" s="310"/>
      <c r="X291" s="310"/>
    </row>
    <row r="292" spans="1:24" s="307" customFormat="1" ht="15" x14ac:dyDescent="0.2">
      <c r="A292" s="746" t="s">
        <v>1033</v>
      </c>
      <c r="B292" s="306" t="s">
        <v>644</v>
      </c>
      <c r="C292" s="354" t="s">
        <v>605</v>
      </c>
      <c r="D292" s="354" t="s">
        <v>620</v>
      </c>
      <c r="E292" s="572">
        <v>8170184060</v>
      </c>
      <c r="F292" s="572"/>
      <c r="G292" s="591">
        <f>G293+G294</f>
        <v>126</v>
      </c>
      <c r="H292" s="591">
        <f>H293+H294</f>
        <v>0</v>
      </c>
      <c r="I292" s="591">
        <f>I293+I294</f>
        <v>126</v>
      </c>
      <c r="J292" s="591">
        <f>J293+J294</f>
        <v>0</v>
      </c>
      <c r="K292" s="591">
        <f t="shared" si="82"/>
        <v>0</v>
      </c>
      <c r="L292" s="591">
        <f t="shared" si="83"/>
        <v>0</v>
      </c>
      <c r="M292" s="217"/>
      <c r="N292" s="292"/>
      <c r="R292" s="591">
        <f>R293+R294</f>
        <v>132</v>
      </c>
      <c r="S292" s="591">
        <f>S293+S294</f>
        <v>0</v>
      </c>
      <c r="T292" s="309"/>
      <c r="U292" s="498"/>
      <c r="V292" s="498"/>
      <c r="W292" s="310"/>
      <c r="X292" s="310"/>
    </row>
    <row r="293" spans="1:24" s="307" customFormat="1" ht="15" x14ac:dyDescent="0.2">
      <c r="A293" s="739" t="s">
        <v>523</v>
      </c>
      <c r="B293" s="243" t="s">
        <v>644</v>
      </c>
      <c r="C293" s="353" t="s">
        <v>605</v>
      </c>
      <c r="D293" s="353" t="s">
        <v>620</v>
      </c>
      <c r="E293" s="369">
        <v>8170184060</v>
      </c>
      <c r="F293" s="369" t="s">
        <v>129</v>
      </c>
      <c r="G293" s="288">
        <v>96.774190000000004</v>
      </c>
      <c r="H293" s="288"/>
      <c r="I293" s="288">
        <v>96.774190000000004</v>
      </c>
      <c r="J293" s="288"/>
      <c r="K293" s="288">
        <f t="shared" ref="K293:K368" si="106">I293-G293</f>
        <v>0</v>
      </c>
      <c r="L293" s="288">
        <f t="shared" ref="L293:L368" si="107">J293-H293</f>
        <v>0</v>
      </c>
      <c r="M293" s="217"/>
      <c r="N293" s="292"/>
      <c r="R293" s="288">
        <v>101.38249999999999</v>
      </c>
      <c r="S293" s="288"/>
      <c r="T293" s="309"/>
      <c r="U293" s="498"/>
      <c r="V293" s="498"/>
      <c r="W293" s="310"/>
      <c r="X293" s="310"/>
    </row>
    <row r="294" spans="1:24" s="307" customFormat="1" ht="25.5" x14ac:dyDescent="0.2">
      <c r="A294" s="739" t="s">
        <v>572</v>
      </c>
      <c r="B294" s="243" t="s">
        <v>644</v>
      </c>
      <c r="C294" s="353" t="s">
        <v>605</v>
      </c>
      <c r="D294" s="353" t="s">
        <v>620</v>
      </c>
      <c r="E294" s="369">
        <v>8170184060</v>
      </c>
      <c r="F294" s="369" t="s">
        <v>524</v>
      </c>
      <c r="G294" s="288">
        <v>29.225809999999999</v>
      </c>
      <c r="H294" s="288"/>
      <c r="I294" s="288">
        <v>29.225809999999999</v>
      </c>
      <c r="J294" s="288"/>
      <c r="K294" s="288">
        <f t="shared" si="106"/>
        <v>0</v>
      </c>
      <c r="L294" s="288">
        <f t="shared" si="107"/>
        <v>0</v>
      </c>
      <c r="M294" s="217"/>
      <c r="N294" s="292"/>
      <c r="R294" s="288">
        <v>30.6175</v>
      </c>
      <c r="S294" s="288"/>
      <c r="T294" s="309"/>
      <c r="U294" s="498"/>
      <c r="V294" s="498"/>
      <c r="W294" s="310"/>
      <c r="X294" s="310"/>
    </row>
    <row r="295" spans="1:24" s="307" customFormat="1" ht="15" x14ac:dyDescent="0.2">
      <c r="A295" s="746" t="s">
        <v>643</v>
      </c>
      <c r="B295" s="306" t="s">
        <v>644</v>
      </c>
      <c r="C295" s="354" t="s">
        <v>605</v>
      </c>
      <c r="D295" s="354" t="s">
        <v>620</v>
      </c>
      <c r="E295" s="450">
        <v>8170191020</v>
      </c>
      <c r="F295" s="450"/>
      <c r="G295" s="591">
        <f>SUM(G296:G304)</f>
        <v>2298.3493699999999</v>
      </c>
      <c r="H295" s="591">
        <f>SUM(H296:H304)</f>
        <v>0</v>
      </c>
      <c r="I295" s="591">
        <f>SUM(I296:I304)</f>
        <v>1757.2721800000002</v>
      </c>
      <c r="J295" s="591">
        <f>SUM(J296:J304)</f>
        <v>0</v>
      </c>
      <c r="K295" s="591">
        <f t="shared" si="106"/>
        <v>-541.07718999999975</v>
      </c>
      <c r="L295" s="591">
        <f t="shared" si="107"/>
        <v>0</v>
      </c>
      <c r="M295" s="217">
        <f t="shared" si="98"/>
        <v>0</v>
      </c>
      <c r="N295" s="292">
        <f>N296</f>
        <v>254.5</v>
      </c>
      <c r="R295" s="591">
        <f>SUM(R296:R304)</f>
        <v>2738.1830600000008</v>
      </c>
      <c r="S295" s="591">
        <f>SUM(S296:S304)</f>
        <v>0</v>
      </c>
      <c r="T295" s="309">
        <f t="shared" si="101"/>
        <v>-541.07718999999975</v>
      </c>
      <c r="U295" s="498">
        <f>SUM(U296:U304)</f>
        <v>3688.0136999999995</v>
      </c>
      <c r="V295" s="498">
        <f>SUM(V296:V304)</f>
        <v>0</v>
      </c>
      <c r="W295" s="310">
        <f t="shared" si="93"/>
        <v>541.07718999999975</v>
      </c>
      <c r="X295" s="310">
        <f t="shared" si="94"/>
        <v>0</v>
      </c>
    </row>
    <row r="296" spans="1:24" ht="15" x14ac:dyDescent="0.2">
      <c r="A296" s="739" t="s">
        <v>523</v>
      </c>
      <c r="B296" s="243" t="s">
        <v>644</v>
      </c>
      <c r="C296" s="353" t="s">
        <v>605</v>
      </c>
      <c r="D296" s="353" t="s">
        <v>620</v>
      </c>
      <c r="E296" s="369">
        <v>8170191020</v>
      </c>
      <c r="F296" s="369" t="s">
        <v>129</v>
      </c>
      <c r="G296" s="288">
        <v>1615.6454100000001</v>
      </c>
      <c r="H296" s="288"/>
      <c r="I296" s="288">
        <v>1137.61158</v>
      </c>
      <c r="J296" s="288"/>
      <c r="K296" s="43">
        <f t="shared" si="106"/>
        <v>-478.03383000000008</v>
      </c>
      <c r="L296" s="43">
        <f t="shared" si="107"/>
        <v>0</v>
      </c>
      <c r="M296" s="217">
        <f t="shared" si="98"/>
        <v>0</v>
      </c>
      <c r="N296" s="43">
        <v>254.5</v>
      </c>
      <c r="R296" s="288">
        <v>1979.5300500000001</v>
      </c>
      <c r="S296" s="288"/>
      <c r="T296" s="217">
        <f t="shared" si="101"/>
        <v>-478.03383000000008</v>
      </c>
      <c r="U296" s="288">
        <v>2663.596</v>
      </c>
      <c r="V296" s="288">
        <v>0</v>
      </c>
      <c r="W296" s="203">
        <f t="shared" si="93"/>
        <v>478.03383000000008</v>
      </c>
      <c r="X296" s="203">
        <f t="shared" si="94"/>
        <v>0</v>
      </c>
    </row>
    <row r="297" spans="1:24" ht="15" x14ac:dyDescent="0.2">
      <c r="A297" s="739" t="s">
        <v>191</v>
      </c>
      <c r="B297" s="243" t="s">
        <v>644</v>
      </c>
      <c r="C297" s="353" t="s">
        <v>605</v>
      </c>
      <c r="D297" s="353" t="s">
        <v>620</v>
      </c>
      <c r="E297" s="369">
        <v>8170191020</v>
      </c>
      <c r="F297" s="369" t="s">
        <v>636</v>
      </c>
      <c r="G297" s="288">
        <v>191.37799999999999</v>
      </c>
      <c r="H297" s="288"/>
      <c r="I297" s="288">
        <v>274.178</v>
      </c>
      <c r="J297" s="288"/>
      <c r="K297" s="43">
        <f t="shared" si="106"/>
        <v>82.800000000000011</v>
      </c>
      <c r="L297" s="43">
        <f t="shared" si="107"/>
        <v>0</v>
      </c>
      <c r="M297" s="217">
        <f t="shared" si="98"/>
        <v>0</v>
      </c>
      <c r="N297" s="43"/>
      <c r="P297" s="166">
        <f>G297+G299+G300</f>
        <v>194.77799999999999</v>
      </c>
      <c r="R297" s="288">
        <v>65.400000000000006</v>
      </c>
      <c r="S297" s="288"/>
      <c r="T297" s="217"/>
      <c r="U297" s="288">
        <v>50.411999999999999</v>
      </c>
      <c r="V297" s="288">
        <v>0</v>
      </c>
      <c r="W297" s="203"/>
      <c r="X297" s="203"/>
    </row>
    <row r="298" spans="1:24" ht="25.5" x14ac:dyDescent="0.2">
      <c r="A298" s="739" t="s">
        <v>572</v>
      </c>
      <c r="B298" s="243" t="s">
        <v>644</v>
      </c>
      <c r="C298" s="353" t="s">
        <v>605</v>
      </c>
      <c r="D298" s="353" t="s">
        <v>620</v>
      </c>
      <c r="E298" s="369">
        <v>8170191020</v>
      </c>
      <c r="F298" s="369" t="s">
        <v>524</v>
      </c>
      <c r="G298" s="288">
        <v>487.92595999999998</v>
      </c>
      <c r="H298" s="288"/>
      <c r="I298" s="288">
        <v>327.50060000000002</v>
      </c>
      <c r="J298" s="288"/>
      <c r="K298" s="43">
        <f t="shared" si="106"/>
        <v>-160.42535999999996</v>
      </c>
      <c r="L298" s="43">
        <f t="shared" si="107"/>
        <v>0</v>
      </c>
      <c r="M298" s="217">
        <f t="shared" si="98"/>
        <v>0</v>
      </c>
      <c r="N298" s="43"/>
      <c r="R298" s="288">
        <v>587.84005999999999</v>
      </c>
      <c r="S298" s="288"/>
      <c r="T298" s="217"/>
      <c r="U298" s="288">
        <v>804.80100000000004</v>
      </c>
      <c r="V298" s="288">
        <v>0</v>
      </c>
      <c r="W298" s="203"/>
      <c r="X298" s="203"/>
    </row>
    <row r="299" spans="1:24" ht="15" hidden="1" x14ac:dyDescent="0.2">
      <c r="A299" s="124" t="s">
        <v>233</v>
      </c>
      <c r="B299" s="243" t="s">
        <v>644</v>
      </c>
      <c r="C299" s="353" t="s">
        <v>605</v>
      </c>
      <c r="D299" s="353" t="s">
        <v>620</v>
      </c>
      <c r="E299" s="369">
        <v>8170191020</v>
      </c>
      <c r="F299" s="369" t="s">
        <v>635</v>
      </c>
      <c r="G299" s="615">
        <v>0</v>
      </c>
      <c r="H299" s="288"/>
      <c r="I299" s="615">
        <v>0</v>
      </c>
      <c r="J299" s="288"/>
      <c r="K299" s="43">
        <f t="shared" si="106"/>
        <v>0</v>
      </c>
      <c r="L299" s="43">
        <f t="shared" si="107"/>
        <v>0</v>
      </c>
      <c r="M299" s="217">
        <f t="shared" si="98"/>
        <v>0</v>
      </c>
      <c r="N299" s="43"/>
      <c r="R299" s="288">
        <v>66</v>
      </c>
      <c r="S299" s="288"/>
      <c r="T299" s="217"/>
      <c r="U299" s="288">
        <v>63.08</v>
      </c>
      <c r="V299" s="288">
        <v>0</v>
      </c>
      <c r="W299" s="203"/>
      <c r="X299" s="203"/>
    </row>
    <row r="300" spans="1:24" ht="15" x14ac:dyDescent="0.2">
      <c r="A300" s="739" t="s">
        <v>834</v>
      </c>
      <c r="B300" s="243" t="s">
        <v>644</v>
      </c>
      <c r="C300" s="353" t="s">
        <v>605</v>
      </c>
      <c r="D300" s="353" t="s">
        <v>620</v>
      </c>
      <c r="E300" s="369">
        <v>8170191020</v>
      </c>
      <c r="F300" s="369" t="s">
        <v>634</v>
      </c>
      <c r="G300" s="288">
        <v>3.4</v>
      </c>
      <c r="H300" s="288"/>
      <c r="I300" s="288">
        <v>17.981999999999999</v>
      </c>
      <c r="J300" s="288"/>
      <c r="K300" s="43">
        <f t="shared" si="106"/>
        <v>14.581999999999999</v>
      </c>
      <c r="L300" s="43">
        <f t="shared" si="107"/>
        <v>0</v>
      </c>
      <c r="M300" s="217">
        <f t="shared" si="98"/>
        <v>0</v>
      </c>
      <c r="N300" s="43"/>
      <c r="R300" s="288">
        <v>36.755949999999999</v>
      </c>
      <c r="S300" s="288"/>
      <c r="T300" s="217"/>
      <c r="U300" s="288">
        <v>83.038700000000006</v>
      </c>
      <c r="V300" s="288">
        <v>0</v>
      </c>
      <c r="W300" s="203"/>
      <c r="X300" s="203"/>
    </row>
    <row r="301" spans="1:24" ht="17.25" hidden="1" customHeight="1" x14ac:dyDescent="0.2">
      <c r="A301" s="124" t="s">
        <v>1248</v>
      </c>
      <c r="B301" s="243" t="s">
        <v>644</v>
      </c>
      <c r="C301" s="353" t="s">
        <v>605</v>
      </c>
      <c r="D301" s="353" t="s">
        <v>620</v>
      </c>
      <c r="E301" s="369">
        <v>8170191020</v>
      </c>
      <c r="F301" s="369">
        <v>247</v>
      </c>
      <c r="G301" s="288"/>
      <c r="H301" s="288"/>
      <c r="I301" s="288"/>
      <c r="J301" s="288"/>
      <c r="K301" s="43">
        <f t="shared" si="106"/>
        <v>0</v>
      </c>
      <c r="L301" s="43">
        <f t="shared" si="107"/>
        <v>0</v>
      </c>
      <c r="M301" s="217">
        <f t="shared" si="98"/>
        <v>0</v>
      </c>
      <c r="N301" s="43"/>
      <c r="R301" s="288"/>
      <c r="S301" s="288"/>
      <c r="T301" s="217"/>
      <c r="U301" s="288">
        <v>3.0859999999999999</v>
      </c>
      <c r="V301" s="288">
        <v>0</v>
      </c>
      <c r="W301" s="203"/>
      <c r="X301" s="203"/>
    </row>
    <row r="302" spans="1:24" ht="17.25" hidden="1" customHeight="1" x14ac:dyDescent="0.2">
      <c r="A302" s="124" t="s">
        <v>290</v>
      </c>
      <c r="B302" s="243" t="s">
        <v>644</v>
      </c>
      <c r="C302" s="353" t="s">
        <v>605</v>
      </c>
      <c r="D302" s="353" t="s">
        <v>620</v>
      </c>
      <c r="E302" s="369">
        <v>8170191020</v>
      </c>
      <c r="F302" s="369" t="s">
        <v>289</v>
      </c>
      <c r="G302" s="288"/>
      <c r="H302" s="288"/>
      <c r="I302" s="288"/>
      <c r="J302" s="288"/>
      <c r="K302" s="43">
        <f t="shared" si="106"/>
        <v>0</v>
      </c>
      <c r="L302" s="43">
        <f t="shared" si="107"/>
        <v>0</v>
      </c>
      <c r="M302" s="217">
        <f t="shared" si="98"/>
        <v>0</v>
      </c>
      <c r="N302" s="43"/>
      <c r="R302" s="288"/>
      <c r="S302" s="288"/>
      <c r="T302" s="217"/>
      <c r="U302" s="288"/>
      <c r="V302" s="288"/>
      <c r="W302" s="203"/>
      <c r="X302" s="203"/>
    </row>
    <row r="303" spans="1:24" ht="17.25" hidden="1" customHeight="1" x14ac:dyDescent="0.2">
      <c r="A303" s="124" t="s">
        <v>837</v>
      </c>
      <c r="B303" s="243" t="s">
        <v>644</v>
      </c>
      <c r="C303" s="353" t="s">
        <v>605</v>
      </c>
      <c r="D303" s="353" t="s">
        <v>620</v>
      </c>
      <c r="E303" s="369">
        <v>8170191020</v>
      </c>
      <c r="F303" s="369" t="s">
        <v>231</v>
      </c>
      <c r="G303" s="288"/>
      <c r="H303" s="288"/>
      <c r="I303" s="288"/>
      <c r="J303" s="288"/>
      <c r="K303" s="43">
        <f t="shared" si="106"/>
        <v>0</v>
      </c>
      <c r="L303" s="43">
        <f t="shared" si="107"/>
        <v>0</v>
      </c>
      <c r="M303" s="217">
        <f t="shared" si="98"/>
        <v>0</v>
      </c>
      <c r="N303" s="43"/>
      <c r="R303" s="288">
        <v>0</v>
      </c>
      <c r="S303" s="288"/>
      <c r="T303" s="217"/>
      <c r="U303" s="288">
        <v>18.850390000000001</v>
      </c>
      <c r="V303" s="288">
        <v>0</v>
      </c>
      <c r="W303" s="203"/>
      <c r="X303" s="203"/>
    </row>
    <row r="304" spans="1:24" ht="15" hidden="1" x14ac:dyDescent="0.2">
      <c r="A304" s="124" t="s">
        <v>303</v>
      </c>
      <c r="B304" s="243" t="s">
        <v>644</v>
      </c>
      <c r="C304" s="353" t="s">
        <v>605</v>
      </c>
      <c r="D304" s="353" t="s">
        <v>620</v>
      </c>
      <c r="E304" s="369">
        <v>8170191020</v>
      </c>
      <c r="F304" s="369" t="s">
        <v>302</v>
      </c>
      <c r="G304" s="288"/>
      <c r="H304" s="288"/>
      <c r="I304" s="288"/>
      <c r="J304" s="288"/>
      <c r="K304" s="43">
        <f t="shared" si="106"/>
        <v>0</v>
      </c>
      <c r="L304" s="43">
        <f t="shared" si="107"/>
        <v>0</v>
      </c>
      <c r="M304" s="217">
        <f t="shared" si="98"/>
        <v>0</v>
      </c>
      <c r="N304" s="43"/>
      <c r="R304" s="288">
        <v>2.657</v>
      </c>
      <c r="S304" s="288"/>
      <c r="T304" s="217"/>
      <c r="U304" s="288">
        <v>1.14961</v>
      </c>
      <c r="V304" s="288">
        <v>0</v>
      </c>
      <c r="W304" s="203"/>
      <c r="X304" s="203"/>
    </row>
    <row r="305" spans="1:24" ht="25.5" x14ac:dyDescent="0.2">
      <c r="A305" s="746" t="s">
        <v>1247</v>
      </c>
      <c r="B305" s="306" t="s">
        <v>644</v>
      </c>
      <c r="C305" s="354" t="s">
        <v>605</v>
      </c>
      <c r="D305" s="354" t="s">
        <v>620</v>
      </c>
      <c r="E305" s="599" t="s">
        <v>1529</v>
      </c>
      <c r="F305" s="582"/>
      <c r="G305" s="591">
        <f>G306+G307</f>
        <v>3545.933</v>
      </c>
      <c r="H305" s="591">
        <f>H306+H307</f>
        <v>0</v>
      </c>
      <c r="I305" s="591">
        <f>I306+I307</f>
        <v>3545.933</v>
      </c>
      <c r="J305" s="591">
        <f>J306+J307</f>
        <v>0</v>
      </c>
      <c r="K305" s="591">
        <f t="shared" si="106"/>
        <v>0</v>
      </c>
      <c r="L305" s="591">
        <f t="shared" si="107"/>
        <v>0</v>
      </c>
      <c r="M305" s="217"/>
      <c r="N305" s="43"/>
      <c r="R305" s="591">
        <f>R306+R307</f>
        <v>17.899999999999999</v>
      </c>
      <c r="S305" s="591">
        <f>S306+S307</f>
        <v>0</v>
      </c>
      <c r="T305" s="217"/>
      <c r="U305" s="288"/>
      <c r="V305" s="288"/>
      <c r="W305" s="203"/>
      <c r="X305" s="203"/>
    </row>
    <row r="306" spans="1:24" ht="15" x14ac:dyDescent="0.2">
      <c r="A306" s="739" t="s">
        <v>523</v>
      </c>
      <c r="B306" s="243" t="s">
        <v>644</v>
      </c>
      <c r="C306" s="353" t="s">
        <v>605</v>
      </c>
      <c r="D306" s="353" t="s">
        <v>620</v>
      </c>
      <c r="E306" s="386" t="s">
        <v>1529</v>
      </c>
      <c r="F306" s="369" t="s">
        <v>129</v>
      </c>
      <c r="G306" s="288">
        <v>2723.451</v>
      </c>
      <c r="H306" s="288"/>
      <c r="I306" s="288">
        <v>2834.2687099999998</v>
      </c>
      <c r="J306" s="288"/>
      <c r="K306" s="43">
        <f t="shared" si="106"/>
        <v>110.81770999999981</v>
      </c>
      <c r="L306" s="43">
        <f t="shared" si="107"/>
        <v>0</v>
      </c>
      <c r="M306" s="217"/>
      <c r="N306" s="43"/>
      <c r="R306" s="288">
        <v>13.747999999999999</v>
      </c>
      <c r="S306" s="288"/>
      <c r="T306" s="217"/>
      <c r="U306" s="288"/>
      <c r="V306" s="288"/>
      <c r="W306" s="203"/>
      <c r="X306" s="203"/>
    </row>
    <row r="307" spans="1:24" ht="25.5" x14ac:dyDescent="0.2">
      <c r="A307" s="739" t="s">
        <v>572</v>
      </c>
      <c r="B307" s="243" t="s">
        <v>644</v>
      </c>
      <c r="C307" s="353" t="s">
        <v>605</v>
      </c>
      <c r="D307" s="353" t="s">
        <v>620</v>
      </c>
      <c r="E307" s="386" t="s">
        <v>1529</v>
      </c>
      <c r="F307" s="369" t="s">
        <v>524</v>
      </c>
      <c r="G307" s="288">
        <v>822.48199999999997</v>
      </c>
      <c r="H307" s="288"/>
      <c r="I307" s="288">
        <v>711.66429000000005</v>
      </c>
      <c r="J307" s="288"/>
      <c r="K307" s="43">
        <f t="shared" si="106"/>
        <v>-110.81770999999992</v>
      </c>
      <c r="L307" s="43">
        <f t="shared" si="107"/>
        <v>0</v>
      </c>
      <c r="M307" s="217"/>
      <c r="N307" s="43"/>
      <c r="R307" s="288">
        <v>4.1520000000000001</v>
      </c>
      <c r="S307" s="288"/>
      <c r="T307" s="217"/>
      <c r="U307" s="288"/>
      <c r="V307" s="288"/>
      <c r="W307" s="203"/>
      <c r="X307" s="203"/>
    </row>
    <row r="308" spans="1:24" s="307" customFormat="1" ht="25.5" x14ac:dyDescent="0.2">
      <c r="A308" s="746" t="s">
        <v>2004</v>
      </c>
      <c r="B308" s="306" t="s">
        <v>644</v>
      </c>
      <c r="C308" s="354" t="s">
        <v>605</v>
      </c>
      <c r="D308" s="354" t="s">
        <v>620</v>
      </c>
      <c r="E308" s="719" t="s">
        <v>2009</v>
      </c>
      <c r="F308" s="495"/>
      <c r="G308" s="591">
        <f>G309+G310+G311</f>
        <v>0</v>
      </c>
      <c r="H308" s="591">
        <f>H309+H310+H311</f>
        <v>0</v>
      </c>
      <c r="I308" s="591">
        <f>I309+I310+I311</f>
        <v>2251.48954</v>
      </c>
      <c r="J308" s="591">
        <f>J309+J310+J311</f>
        <v>0</v>
      </c>
      <c r="K308" s="591">
        <f t="shared" si="106"/>
        <v>2251.48954</v>
      </c>
      <c r="L308" s="591">
        <f t="shared" si="107"/>
        <v>0</v>
      </c>
      <c r="M308" s="217">
        <f>I308-G308-K308</f>
        <v>0</v>
      </c>
      <c r="N308" s="308"/>
      <c r="R308" s="591">
        <f>R309+R310+R311</f>
        <v>3073.29</v>
      </c>
      <c r="S308" s="591">
        <f>S309+S310+S311</f>
        <v>0</v>
      </c>
      <c r="T308" s="309"/>
      <c r="U308" s="498">
        <f>U309+U310+U311</f>
        <v>728.39499999999998</v>
      </c>
      <c r="V308" s="498">
        <f>V309+V310+V311</f>
        <v>0</v>
      </c>
      <c r="W308" s="310">
        <f>G308-I308</f>
        <v>-2251.48954</v>
      </c>
      <c r="X308" s="310">
        <f>K308+W308</f>
        <v>0</v>
      </c>
    </row>
    <row r="309" spans="1:24" ht="15" x14ac:dyDescent="0.2">
      <c r="A309" s="739" t="s">
        <v>523</v>
      </c>
      <c r="B309" s="243" t="s">
        <v>644</v>
      </c>
      <c r="C309" s="353" t="s">
        <v>605</v>
      </c>
      <c r="D309" s="353" t="s">
        <v>620</v>
      </c>
      <c r="E309" s="386" t="s">
        <v>2009</v>
      </c>
      <c r="F309" s="369" t="s">
        <v>129</v>
      </c>
      <c r="G309" s="288"/>
      <c r="H309" s="288"/>
      <c r="I309" s="288">
        <v>1649.8685399999999</v>
      </c>
      <c r="J309" s="288"/>
      <c r="K309" s="43">
        <f t="shared" si="106"/>
        <v>1649.8685399999999</v>
      </c>
      <c r="L309" s="43">
        <f t="shared" si="107"/>
        <v>0</v>
      </c>
      <c r="M309" s="217">
        <f>I309-G309-K309</f>
        <v>0</v>
      </c>
      <c r="N309" s="171"/>
      <c r="R309" s="288">
        <v>2360.4380000000001</v>
      </c>
      <c r="S309" s="288"/>
      <c r="T309" s="217"/>
      <c r="U309" s="288">
        <v>563.93600000000004</v>
      </c>
      <c r="V309" s="288"/>
      <c r="W309" s="203">
        <f>G309-I309</f>
        <v>-1649.8685399999999</v>
      </c>
      <c r="X309" s="203">
        <f>K309+W309</f>
        <v>0</v>
      </c>
    </row>
    <row r="310" spans="1:24" ht="25.5" x14ac:dyDescent="0.2">
      <c r="A310" s="739" t="s">
        <v>572</v>
      </c>
      <c r="B310" s="243" t="s">
        <v>644</v>
      </c>
      <c r="C310" s="353" t="s">
        <v>605</v>
      </c>
      <c r="D310" s="353" t="s">
        <v>620</v>
      </c>
      <c r="E310" s="386" t="s">
        <v>2009</v>
      </c>
      <c r="F310" s="369" t="s">
        <v>524</v>
      </c>
      <c r="G310" s="288"/>
      <c r="H310" s="288"/>
      <c r="I310" s="288">
        <v>601.62099999999998</v>
      </c>
      <c r="J310" s="288"/>
      <c r="K310" s="43">
        <f t="shared" si="106"/>
        <v>601.62099999999998</v>
      </c>
      <c r="L310" s="43">
        <f t="shared" si="107"/>
        <v>0</v>
      </c>
      <c r="M310" s="217">
        <f>I310-G310-K310</f>
        <v>0</v>
      </c>
      <c r="N310" s="171"/>
      <c r="R310" s="288">
        <v>712.85199999999998</v>
      </c>
      <c r="S310" s="288"/>
      <c r="T310" s="217"/>
      <c r="U310" s="288">
        <v>164.459</v>
      </c>
      <c r="V310" s="288"/>
      <c r="W310" s="203">
        <f>G310-I310</f>
        <v>-601.62099999999998</v>
      </c>
      <c r="X310" s="203">
        <f>K310+W310</f>
        <v>0</v>
      </c>
    </row>
    <row r="311" spans="1:24" ht="15" hidden="1" x14ac:dyDescent="0.2">
      <c r="A311" s="124" t="s">
        <v>834</v>
      </c>
      <c r="B311" s="243" t="s">
        <v>644</v>
      </c>
      <c r="C311" s="353" t="s">
        <v>605</v>
      </c>
      <c r="D311" s="353" t="s">
        <v>620</v>
      </c>
      <c r="E311" s="386" t="s">
        <v>2009</v>
      </c>
      <c r="F311" s="369" t="s">
        <v>634</v>
      </c>
      <c r="G311" s="288"/>
      <c r="H311" s="288"/>
      <c r="I311" s="288"/>
      <c r="J311" s="288"/>
      <c r="K311" s="43">
        <f t="shared" si="106"/>
        <v>0</v>
      </c>
      <c r="L311" s="43">
        <f t="shared" si="107"/>
        <v>0</v>
      </c>
      <c r="M311" s="217">
        <f>I311-G311-K311</f>
        <v>0</v>
      </c>
      <c r="N311" s="171"/>
      <c r="R311" s="288"/>
      <c r="S311" s="288"/>
      <c r="T311" s="217"/>
      <c r="U311" s="288"/>
      <c r="V311" s="288"/>
      <c r="W311" s="203">
        <f>G311-I311</f>
        <v>0</v>
      </c>
      <c r="X311" s="203">
        <f>K311+W311</f>
        <v>0</v>
      </c>
    </row>
    <row r="312" spans="1:24" s="307" customFormat="1" ht="51.75" hidden="1" customHeight="1" x14ac:dyDescent="0.2">
      <c r="A312" s="451" t="s">
        <v>819</v>
      </c>
      <c r="B312" s="306" t="s">
        <v>644</v>
      </c>
      <c r="C312" s="354" t="s">
        <v>605</v>
      </c>
      <c r="D312" s="354" t="s">
        <v>620</v>
      </c>
      <c r="E312" s="450" t="s">
        <v>817</v>
      </c>
      <c r="F312" s="450"/>
      <c r="G312" s="498">
        <f t="shared" ref="G312:J313" si="108">G313</f>
        <v>0</v>
      </c>
      <c r="H312" s="498">
        <f t="shared" si="108"/>
        <v>0</v>
      </c>
      <c r="I312" s="591">
        <f t="shared" si="108"/>
        <v>0</v>
      </c>
      <c r="J312" s="591">
        <f t="shared" si="108"/>
        <v>0</v>
      </c>
      <c r="K312" s="591">
        <f t="shared" si="106"/>
        <v>0</v>
      </c>
      <c r="L312" s="591">
        <f t="shared" si="107"/>
        <v>0</v>
      </c>
      <c r="M312" s="217">
        <f t="shared" si="98"/>
        <v>0</v>
      </c>
      <c r="N312" s="292"/>
      <c r="R312" s="591">
        <f>R313</f>
        <v>0</v>
      </c>
      <c r="S312" s="591">
        <f>S313</f>
        <v>0</v>
      </c>
      <c r="T312" s="309">
        <f t="shared" si="101"/>
        <v>0</v>
      </c>
      <c r="U312" s="498">
        <f>U313</f>
        <v>0</v>
      </c>
      <c r="V312" s="498">
        <f>V313</f>
        <v>0</v>
      </c>
      <c r="W312" s="310">
        <f t="shared" si="93"/>
        <v>0</v>
      </c>
      <c r="X312" s="310">
        <f t="shared" si="94"/>
        <v>0</v>
      </c>
    </row>
    <row r="313" spans="1:24" s="307" customFormat="1" ht="39.75" hidden="1" customHeight="1" x14ac:dyDescent="0.2">
      <c r="A313" s="451" t="s">
        <v>230</v>
      </c>
      <c r="B313" s="306" t="s">
        <v>644</v>
      </c>
      <c r="C313" s="354" t="s">
        <v>605</v>
      </c>
      <c r="D313" s="354" t="s">
        <v>620</v>
      </c>
      <c r="E313" s="450" t="s">
        <v>818</v>
      </c>
      <c r="F313" s="450"/>
      <c r="G313" s="498">
        <f t="shared" si="108"/>
        <v>0</v>
      </c>
      <c r="H313" s="498">
        <f t="shared" si="108"/>
        <v>0</v>
      </c>
      <c r="I313" s="591">
        <f t="shared" si="108"/>
        <v>0</v>
      </c>
      <c r="J313" s="591">
        <f t="shared" si="108"/>
        <v>0</v>
      </c>
      <c r="K313" s="591">
        <f t="shared" si="106"/>
        <v>0</v>
      </c>
      <c r="L313" s="591">
        <f t="shared" si="107"/>
        <v>0</v>
      </c>
      <c r="M313" s="217">
        <f t="shared" si="98"/>
        <v>0</v>
      </c>
      <c r="N313" s="292"/>
      <c r="R313" s="591">
        <f>R314</f>
        <v>0</v>
      </c>
      <c r="S313" s="591">
        <f>S314</f>
        <v>0</v>
      </c>
      <c r="T313" s="309">
        <f t="shared" si="101"/>
        <v>0</v>
      </c>
      <c r="U313" s="498">
        <f>U314</f>
        <v>0</v>
      </c>
      <c r="V313" s="498">
        <f>V314</f>
        <v>0</v>
      </c>
      <c r="W313" s="310">
        <f t="shared" si="93"/>
        <v>0</v>
      </c>
      <c r="X313" s="310">
        <f t="shared" si="94"/>
        <v>0</v>
      </c>
    </row>
    <row r="314" spans="1:24" ht="16.5" hidden="1" customHeight="1" x14ac:dyDescent="0.2">
      <c r="A314" s="124" t="s">
        <v>834</v>
      </c>
      <c r="B314" s="243" t="s">
        <v>644</v>
      </c>
      <c r="C314" s="353" t="s">
        <v>605</v>
      </c>
      <c r="D314" s="353" t="s">
        <v>620</v>
      </c>
      <c r="E314" s="369" t="s">
        <v>818</v>
      </c>
      <c r="F314" s="369" t="s">
        <v>634</v>
      </c>
      <c r="G314" s="288"/>
      <c r="H314" s="288"/>
      <c r="I314" s="288"/>
      <c r="J314" s="288"/>
      <c r="K314" s="43">
        <f t="shared" si="106"/>
        <v>0</v>
      </c>
      <c r="L314" s="43">
        <f t="shared" si="107"/>
        <v>0</v>
      </c>
      <c r="M314" s="217">
        <f t="shared" si="98"/>
        <v>0</v>
      </c>
      <c r="N314" s="43"/>
      <c r="R314" s="288"/>
      <c r="S314" s="288"/>
      <c r="T314" s="217">
        <f t="shared" si="101"/>
        <v>0</v>
      </c>
      <c r="U314" s="288"/>
      <c r="V314" s="288"/>
      <c r="W314" s="203">
        <f t="shared" si="93"/>
        <v>0</v>
      </c>
      <c r="X314" s="203">
        <f t="shared" si="94"/>
        <v>0</v>
      </c>
    </row>
    <row r="315" spans="1:24" s="307" customFormat="1" ht="27" hidden="1" customHeight="1" x14ac:dyDescent="0.2">
      <c r="A315" s="451" t="s">
        <v>1083</v>
      </c>
      <c r="B315" s="306" t="s">
        <v>644</v>
      </c>
      <c r="C315" s="354" t="s">
        <v>605</v>
      </c>
      <c r="D315" s="354" t="s">
        <v>620</v>
      </c>
      <c r="E315" s="450" t="s">
        <v>809</v>
      </c>
      <c r="F315" s="450"/>
      <c r="G315" s="498">
        <f t="shared" ref="G315:J316" si="109">G316</f>
        <v>0</v>
      </c>
      <c r="H315" s="498">
        <f t="shared" si="109"/>
        <v>0</v>
      </c>
      <c r="I315" s="591">
        <f t="shared" si="109"/>
        <v>0</v>
      </c>
      <c r="J315" s="591">
        <f t="shared" si="109"/>
        <v>0</v>
      </c>
      <c r="K315" s="591">
        <f t="shared" si="106"/>
        <v>0</v>
      </c>
      <c r="L315" s="591">
        <f t="shared" si="107"/>
        <v>0</v>
      </c>
      <c r="M315" s="217">
        <f t="shared" si="98"/>
        <v>0</v>
      </c>
      <c r="N315" s="292"/>
      <c r="R315" s="591">
        <f>R316</f>
        <v>0</v>
      </c>
      <c r="S315" s="591">
        <f>S316</f>
        <v>0</v>
      </c>
      <c r="T315" s="309">
        <f t="shared" si="101"/>
        <v>0</v>
      </c>
      <c r="U315" s="498">
        <f>U316</f>
        <v>0</v>
      </c>
      <c r="V315" s="498">
        <f>V316</f>
        <v>0</v>
      </c>
      <c r="W315" s="310">
        <f t="shared" si="93"/>
        <v>0</v>
      </c>
      <c r="X315" s="310">
        <f t="shared" si="94"/>
        <v>0</v>
      </c>
    </row>
    <row r="316" spans="1:24" s="307" customFormat="1" ht="24.75" hidden="1" customHeight="1" x14ac:dyDescent="0.2">
      <c r="A316" s="451" t="s">
        <v>1084</v>
      </c>
      <c r="B316" s="306" t="s">
        <v>644</v>
      </c>
      <c r="C316" s="354" t="s">
        <v>605</v>
      </c>
      <c r="D316" s="354" t="s">
        <v>620</v>
      </c>
      <c r="E316" s="450" t="s">
        <v>1085</v>
      </c>
      <c r="F316" s="450"/>
      <c r="G316" s="498">
        <f t="shared" si="109"/>
        <v>0</v>
      </c>
      <c r="H316" s="498">
        <f t="shared" si="109"/>
        <v>0</v>
      </c>
      <c r="I316" s="591">
        <f t="shared" si="109"/>
        <v>0</v>
      </c>
      <c r="J316" s="591">
        <f t="shared" si="109"/>
        <v>0</v>
      </c>
      <c r="K316" s="591">
        <f t="shared" si="106"/>
        <v>0</v>
      </c>
      <c r="L316" s="591">
        <f t="shared" si="107"/>
        <v>0</v>
      </c>
      <c r="M316" s="217">
        <f t="shared" si="98"/>
        <v>0</v>
      </c>
      <c r="N316" s="292"/>
      <c r="R316" s="591">
        <f>R317</f>
        <v>0</v>
      </c>
      <c r="S316" s="591">
        <f>S317</f>
        <v>0</v>
      </c>
      <c r="T316" s="309">
        <f t="shared" si="101"/>
        <v>0</v>
      </c>
      <c r="U316" s="498">
        <f>U317</f>
        <v>0</v>
      </c>
      <c r="V316" s="498">
        <f>V317</f>
        <v>0</v>
      </c>
      <c r="W316" s="310">
        <f t="shared" si="93"/>
        <v>0</v>
      </c>
      <c r="X316" s="310">
        <f t="shared" si="94"/>
        <v>0</v>
      </c>
    </row>
    <row r="317" spans="1:24" ht="24.75" hidden="1" customHeight="1" x14ac:dyDescent="0.2">
      <c r="A317" s="124" t="s">
        <v>834</v>
      </c>
      <c r="B317" s="243" t="s">
        <v>644</v>
      </c>
      <c r="C317" s="353" t="s">
        <v>605</v>
      </c>
      <c r="D317" s="353" t="s">
        <v>620</v>
      </c>
      <c r="E317" s="369" t="s">
        <v>1085</v>
      </c>
      <c r="F317" s="369" t="s">
        <v>634</v>
      </c>
      <c r="G317" s="288"/>
      <c r="H317" s="288"/>
      <c r="I317" s="288"/>
      <c r="J317" s="288"/>
      <c r="K317" s="43">
        <f t="shared" si="106"/>
        <v>0</v>
      </c>
      <c r="L317" s="43">
        <f t="shared" si="107"/>
        <v>0</v>
      </c>
      <c r="M317" s="217">
        <f t="shared" si="98"/>
        <v>0</v>
      </c>
      <c r="N317" s="43"/>
      <c r="R317" s="288"/>
      <c r="S317" s="288"/>
      <c r="T317" s="217">
        <f t="shared" si="101"/>
        <v>0</v>
      </c>
      <c r="U317" s="288"/>
      <c r="V317" s="288"/>
      <c r="W317" s="203">
        <f t="shared" si="93"/>
        <v>0</v>
      </c>
      <c r="X317" s="203">
        <f t="shared" si="94"/>
        <v>0</v>
      </c>
    </row>
    <row r="318" spans="1:24" s="307" customFormat="1" ht="24.75" hidden="1" customHeight="1" x14ac:dyDescent="0.2">
      <c r="A318" s="451" t="s">
        <v>732</v>
      </c>
      <c r="B318" s="306" t="s">
        <v>644</v>
      </c>
      <c r="C318" s="354" t="s">
        <v>605</v>
      </c>
      <c r="D318" s="354" t="s">
        <v>620</v>
      </c>
      <c r="E318" s="450" t="s">
        <v>729</v>
      </c>
      <c r="F318" s="450"/>
      <c r="G318" s="498">
        <f t="shared" ref="G318:J320" si="110">G319</f>
        <v>0</v>
      </c>
      <c r="H318" s="498">
        <f t="shared" si="110"/>
        <v>0</v>
      </c>
      <c r="I318" s="591">
        <f t="shared" si="110"/>
        <v>0</v>
      </c>
      <c r="J318" s="591">
        <f t="shared" si="110"/>
        <v>0</v>
      </c>
      <c r="K318" s="591">
        <f t="shared" si="106"/>
        <v>0</v>
      </c>
      <c r="L318" s="591">
        <f t="shared" si="107"/>
        <v>0</v>
      </c>
      <c r="M318" s="217">
        <f t="shared" si="98"/>
        <v>0</v>
      </c>
      <c r="N318" s="292">
        <f>N319</f>
        <v>254.5</v>
      </c>
      <c r="R318" s="591">
        <f t="shared" ref="R318:S320" si="111">R319</f>
        <v>0</v>
      </c>
      <c r="S318" s="591">
        <f t="shared" si="111"/>
        <v>0</v>
      </c>
      <c r="T318" s="309">
        <f t="shared" si="101"/>
        <v>0</v>
      </c>
      <c r="U318" s="498">
        <f t="shared" ref="U318:V320" si="112">U319</f>
        <v>0</v>
      </c>
      <c r="V318" s="498">
        <f t="shared" si="112"/>
        <v>0</v>
      </c>
      <c r="W318" s="310">
        <f t="shared" si="93"/>
        <v>0</v>
      </c>
      <c r="X318" s="310">
        <f t="shared" si="94"/>
        <v>0</v>
      </c>
    </row>
    <row r="319" spans="1:24" s="307" customFormat="1" ht="25.5" hidden="1" customHeight="1" x14ac:dyDescent="0.2">
      <c r="A319" s="451" t="s">
        <v>745</v>
      </c>
      <c r="B319" s="306" t="s">
        <v>644</v>
      </c>
      <c r="C319" s="354" t="s">
        <v>605</v>
      </c>
      <c r="D319" s="354" t="s">
        <v>620</v>
      </c>
      <c r="E319" s="450" t="s">
        <v>742</v>
      </c>
      <c r="F319" s="450"/>
      <c r="G319" s="498">
        <f t="shared" si="110"/>
        <v>0</v>
      </c>
      <c r="H319" s="498">
        <f t="shared" si="110"/>
        <v>0</v>
      </c>
      <c r="I319" s="591">
        <f t="shared" si="110"/>
        <v>0</v>
      </c>
      <c r="J319" s="591">
        <f t="shared" si="110"/>
        <v>0</v>
      </c>
      <c r="K319" s="591">
        <f t="shared" si="106"/>
        <v>0</v>
      </c>
      <c r="L319" s="591">
        <f t="shared" si="107"/>
        <v>0</v>
      </c>
      <c r="M319" s="217">
        <f t="shared" si="98"/>
        <v>0</v>
      </c>
      <c r="N319" s="292">
        <f>N320</f>
        <v>254.5</v>
      </c>
      <c r="R319" s="591">
        <f t="shared" si="111"/>
        <v>0</v>
      </c>
      <c r="S319" s="591">
        <f t="shared" si="111"/>
        <v>0</v>
      </c>
      <c r="T319" s="309">
        <f t="shared" si="101"/>
        <v>0</v>
      </c>
      <c r="U319" s="498">
        <f t="shared" si="112"/>
        <v>0</v>
      </c>
      <c r="V319" s="498">
        <f t="shared" si="112"/>
        <v>0</v>
      </c>
      <c r="W319" s="310">
        <f t="shared" si="93"/>
        <v>0</v>
      </c>
      <c r="X319" s="310">
        <f t="shared" si="94"/>
        <v>0</v>
      </c>
    </row>
    <row r="320" spans="1:24" s="307" customFormat="1" ht="18.75" hidden="1" customHeight="1" x14ac:dyDescent="0.2">
      <c r="A320" s="451" t="s">
        <v>734</v>
      </c>
      <c r="B320" s="306" t="s">
        <v>644</v>
      </c>
      <c r="C320" s="354" t="s">
        <v>605</v>
      </c>
      <c r="D320" s="354" t="s">
        <v>620</v>
      </c>
      <c r="E320" s="450" t="s">
        <v>1010</v>
      </c>
      <c r="F320" s="450"/>
      <c r="G320" s="498">
        <f t="shared" si="110"/>
        <v>0</v>
      </c>
      <c r="H320" s="498">
        <f t="shared" si="110"/>
        <v>0</v>
      </c>
      <c r="I320" s="591">
        <f t="shared" si="110"/>
        <v>0</v>
      </c>
      <c r="J320" s="591">
        <f t="shared" si="110"/>
        <v>0</v>
      </c>
      <c r="K320" s="591">
        <f t="shared" si="106"/>
        <v>0</v>
      </c>
      <c r="L320" s="591">
        <f t="shared" si="107"/>
        <v>0</v>
      </c>
      <c r="M320" s="217">
        <f t="shared" si="98"/>
        <v>0</v>
      </c>
      <c r="N320" s="292">
        <f>N321</f>
        <v>254.5</v>
      </c>
      <c r="R320" s="591">
        <f t="shared" si="111"/>
        <v>0</v>
      </c>
      <c r="S320" s="591">
        <f t="shared" si="111"/>
        <v>0</v>
      </c>
      <c r="T320" s="309">
        <f t="shared" si="101"/>
        <v>0</v>
      </c>
      <c r="U320" s="498">
        <f t="shared" si="112"/>
        <v>0</v>
      </c>
      <c r="V320" s="498">
        <f t="shared" si="112"/>
        <v>0</v>
      </c>
      <c r="W320" s="310">
        <f t="shared" si="93"/>
        <v>0</v>
      </c>
      <c r="X320" s="310">
        <f t="shared" si="94"/>
        <v>0</v>
      </c>
    </row>
    <row r="321" spans="1:24" ht="17.25" hidden="1" customHeight="1" x14ac:dyDescent="0.2">
      <c r="A321" s="124" t="s">
        <v>834</v>
      </c>
      <c r="B321" s="243" t="s">
        <v>644</v>
      </c>
      <c r="C321" s="353" t="s">
        <v>605</v>
      </c>
      <c r="D321" s="353" t="s">
        <v>620</v>
      </c>
      <c r="E321" s="369" t="s">
        <v>1010</v>
      </c>
      <c r="F321" s="369" t="s">
        <v>634</v>
      </c>
      <c r="G321" s="288"/>
      <c r="H321" s="288"/>
      <c r="I321" s="288"/>
      <c r="J321" s="288"/>
      <c r="K321" s="43">
        <f t="shared" si="106"/>
        <v>0</v>
      </c>
      <c r="L321" s="43">
        <f t="shared" si="107"/>
        <v>0</v>
      </c>
      <c r="M321" s="217">
        <f t="shared" si="98"/>
        <v>0</v>
      </c>
      <c r="N321" s="43">
        <v>254.5</v>
      </c>
      <c r="R321" s="288"/>
      <c r="S321" s="288"/>
      <c r="T321" s="217">
        <f t="shared" si="101"/>
        <v>0</v>
      </c>
      <c r="U321" s="288"/>
      <c r="V321" s="288"/>
      <c r="W321" s="203">
        <f t="shared" si="93"/>
        <v>0</v>
      </c>
      <c r="X321" s="203">
        <f t="shared" si="94"/>
        <v>0</v>
      </c>
    </row>
    <row r="322" spans="1:24" ht="25.5" x14ac:dyDescent="0.2">
      <c r="A322" s="746" t="s">
        <v>1299</v>
      </c>
      <c r="B322" s="306" t="s">
        <v>644</v>
      </c>
      <c r="C322" s="354" t="s">
        <v>605</v>
      </c>
      <c r="D322" s="354" t="s">
        <v>620</v>
      </c>
      <c r="E322" s="572" t="s">
        <v>729</v>
      </c>
      <c r="F322" s="572"/>
      <c r="G322" s="591">
        <f>G326+G323</f>
        <v>139.9102</v>
      </c>
      <c r="H322" s="591">
        <f t="shared" ref="H322:L322" si="113">H326+H323</f>
        <v>0</v>
      </c>
      <c r="I322" s="591">
        <f t="shared" si="113"/>
        <v>139.9102</v>
      </c>
      <c r="J322" s="591">
        <f t="shared" si="113"/>
        <v>0</v>
      </c>
      <c r="K322" s="591">
        <f t="shared" si="113"/>
        <v>0</v>
      </c>
      <c r="L322" s="591">
        <f t="shared" si="113"/>
        <v>0</v>
      </c>
      <c r="M322" s="217"/>
      <c r="N322" s="43"/>
      <c r="R322" s="591">
        <f>R326</f>
        <v>120</v>
      </c>
      <c r="S322" s="591">
        <f>S326</f>
        <v>0</v>
      </c>
      <c r="T322" s="217"/>
      <c r="U322" s="288"/>
      <c r="V322" s="288"/>
      <c r="W322" s="203"/>
      <c r="X322" s="203"/>
    </row>
    <row r="323" spans="1:24" ht="15" x14ac:dyDescent="0.2">
      <c r="A323" s="747" t="s">
        <v>733</v>
      </c>
      <c r="B323" s="306" t="s">
        <v>644</v>
      </c>
      <c r="C323" s="354" t="s">
        <v>605</v>
      </c>
      <c r="D323" s="354" t="s">
        <v>620</v>
      </c>
      <c r="E323" s="697">
        <v>8200700000</v>
      </c>
      <c r="F323" s="697"/>
      <c r="G323" s="591">
        <f t="shared" ref="G323:J324" si="114">G324</f>
        <v>19.9102</v>
      </c>
      <c r="H323" s="591">
        <f t="shared" si="114"/>
        <v>0</v>
      </c>
      <c r="I323" s="591">
        <f t="shared" si="114"/>
        <v>19.9102</v>
      </c>
      <c r="J323" s="591">
        <f t="shared" si="114"/>
        <v>0</v>
      </c>
      <c r="K323" s="42">
        <f t="shared" ref="K323:K325" si="115">I323-G323</f>
        <v>0</v>
      </c>
      <c r="L323" s="42">
        <f t="shared" ref="L323:L325" si="116">J323-H323</f>
        <v>0</v>
      </c>
      <c r="M323" s="217"/>
      <c r="N323" s="43"/>
      <c r="R323" s="591"/>
      <c r="S323" s="591"/>
      <c r="T323" s="217"/>
      <c r="U323" s="288"/>
      <c r="V323" s="288"/>
      <c r="W323" s="203"/>
      <c r="X323" s="203"/>
    </row>
    <row r="324" spans="1:24" ht="15" x14ac:dyDescent="0.2">
      <c r="A324" s="747" t="s">
        <v>734</v>
      </c>
      <c r="B324" s="306" t="s">
        <v>644</v>
      </c>
      <c r="C324" s="354" t="s">
        <v>605</v>
      </c>
      <c r="D324" s="354" t="s">
        <v>620</v>
      </c>
      <c r="E324" s="697">
        <v>8200782460</v>
      </c>
      <c r="F324" s="697"/>
      <c r="G324" s="591">
        <f t="shared" si="114"/>
        <v>19.9102</v>
      </c>
      <c r="H324" s="591">
        <f t="shared" si="114"/>
        <v>0</v>
      </c>
      <c r="I324" s="591">
        <f t="shared" si="114"/>
        <v>19.9102</v>
      </c>
      <c r="J324" s="591">
        <f t="shared" si="114"/>
        <v>0</v>
      </c>
      <c r="K324" s="42">
        <f t="shared" si="115"/>
        <v>0</v>
      </c>
      <c r="L324" s="42">
        <f t="shared" si="116"/>
        <v>0</v>
      </c>
      <c r="M324" s="217"/>
      <c r="N324" s="43"/>
      <c r="R324" s="591"/>
      <c r="S324" s="591"/>
      <c r="T324" s="217"/>
      <c r="U324" s="288"/>
      <c r="V324" s="288"/>
      <c r="W324" s="203"/>
      <c r="X324" s="203"/>
    </row>
    <row r="325" spans="1:24" ht="15" x14ac:dyDescent="0.2">
      <c r="A325" s="744" t="s">
        <v>1937</v>
      </c>
      <c r="B325" s="243" t="s">
        <v>644</v>
      </c>
      <c r="C325" s="353" t="s">
        <v>605</v>
      </c>
      <c r="D325" s="353" t="s">
        <v>620</v>
      </c>
      <c r="E325" s="369">
        <v>8200782460</v>
      </c>
      <c r="F325" s="369">
        <v>540</v>
      </c>
      <c r="G325" s="288">
        <v>19.9102</v>
      </c>
      <c r="H325" s="288"/>
      <c r="I325" s="288">
        <v>19.9102</v>
      </c>
      <c r="J325" s="288"/>
      <c r="K325" s="43">
        <f t="shared" si="115"/>
        <v>0</v>
      </c>
      <c r="L325" s="43">
        <f t="shared" si="116"/>
        <v>0</v>
      </c>
      <c r="M325" s="217"/>
      <c r="N325" s="43"/>
      <c r="R325" s="591"/>
      <c r="S325" s="591"/>
      <c r="T325" s="217"/>
      <c r="U325" s="288"/>
      <c r="V325" s="288"/>
      <c r="W325" s="203"/>
      <c r="X325" s="203"/>
    </row>
    <row r="326" spans="1:24" ht="27.75" customHeight="1" x14ac:dyDescent="0.2">
      <c r="A326" s="746" t="s">
        <v>745</v>
      </c>
      <c r="B326" s="306" t="s">
        <v>644</v>
      </c>
      <c r="C326" s="354" t="s">
        <v>605</v>
      </c>
      <c r="D326" s="354" t="s">
        <v>620</v>
      </c>
      <c r="E326" s="572" t="s">
        <v>742</v>
      </c>
      <c r="F326" s="572"/>
      <c r="G326" s="591">
        <f t="shared" ref="G326:J327" si="117">G327</f>
        <v>120</v>
      </c>
      <c r="H326" s="591">
        <f t="shared" si="117"/>
        <v>0</v>
      </c>
      <c r="I326" s="591">
        <f t="shared" si="117"/>
        <v>120</v>
      </c>
      <c r="J326" s="591">
        <f t="shared" si="117"/>
        <v>0</v>
      </c>
      <c r="K326" s="42">
        <f t="shared" si="106"/>
        <v>0</v>
      </c>
      <c r="L326" s="42">
        <f t="shared" si="107"/>
        <v>0</v>
      </c>
      <c r="M326" s="217"/>
      <c r="N326" s="43"/>
      <c r="R326" s="591">
        <f t="shared" ref="R326:S327" si="118">R327</f>
        <v>120</v>
      </c>
      <c r="S326" s="591">
        <f t="shared" si="118"/>
        <v>0</v>
      </c>
      <c r="T326" s="217"/>
      <c r="U326" s="288"/>
      <c r="V326" s="288"/>
      <c r="W326" s="203"/>
      <c r="X326" s="203"/>
    </row>
    <row r="327" spans="1:24" ht="15" x14ac:dyDescent="0.2">
      <c r="A327" s="746" t="s">
        <v>734</v>
      </c>
      <c r="B327" s="306" t="s">
        <v>644</v>
      </c>
      <c r="C327" s="354" t="s">
        <v>605</v>
      </c>
      <c r="D327" s="354" t="s">
        <v>620</v>
      </c>
      <c r="E327" s="572">
        <v>8200882460</v>
      </c>
      <c r="F327" s="572"/>
      <c r="G327" s="591">
        <f t="shared" si="117"/>
        <v>120</v>
      </c>
      <c r="H327" s="591">
        <f t="shared" si="117"/>
        <v>0</v>
      </c>
      <c r="I327" s="591">
        <f t="shared" si="117"/>
        <v>120</v>
      </c>
      <c r="J327" s="591">
        <f t="shared" si="117"/>
        <v>0</v>
      </c>
      <c r="K327" s="42">
        <f t="shared" si="106"/>
        <v>0</v>
      </c>
      <c r="L327" s="42">
        <f t="shared" si="107"/>
        <v>0</v>
      </c>
      <c r="M327" s="217"/>
      <c r="N327" s="43"/>
      <c r="R327" s="591">
        <f t="shared" si="118"/>
        <v>120</v>
      </c>
      <c r="S327" s="591">
        <f t="shared" si="118"/>
        <v>0</v>
      </c>
      <c r="T327" s="217"/>
      <c r="U327" s="288"/>
      <c r="V327" s="288"/>
      <c r="W327" s="203"/>
      <c r="X327" s="203"/>
    </row>
    <row r="328" spans="1:24" ht="15" x14ac:dyDescent="0.2">
      <c r="A328" s="744" t="s">
        <v>1937</v>
      </c>
      <c r="B328" s="243" t="s">
        <v>644</v>
      </c>
      <c r="C328" s="353" t="s">
        <v>605</v>
      </c>
      <c r="D328" s="353" t="s">
        <v>620</v>
      </c>
      <c r="E328" s="369">
        <v>8200882460</v>
      </c>
      <c r="F328" s="369">
        <v>540</v>
      </c>
      <c r="G328" s="288">
        <v>120</v>
      </c>
      <c r="H328" s="288"/>
      <c r="I328" s="288">
        <v>120</v>
      </c>
      <c r="J328" s="288"/>
      <c r="K328" s="43">
        <f t="shared" si="106"/>
        <v>0</v>
      </c>
      <c r="L328" s="43">
        <f t="shared" si="107"/>
        <v>0</v>
      </c>
      <c r="M328" s="217"/>
      <c r="N328" s="43"/>
      <c r="R328" s="288">
        <v>120</v>
      </c>
      <c r="S328" s="288"/>
      <c r="T328" s="217"/>
      <c r="U328" s="288"/>
      <c r="V328" s="288"/>
      <c r="W328" s="203"/>
      <c r="X328" s="203"/>
    </row>
    <row r="329" spans="1:24" s="314" customFormat="1" ht="15" x14ac:dyDescent="0.2">
      <c r="A329" s="746" t="s">
        <v>65</v>
      </c>
      <c r="B329" s="306" t="s">
        <v>644</v>
      </c>
      <c r="C329" s="354" t="s">
        <v>605</v>
      </c>
      <c r="D329" s="354" t="s">
        <v>620</v>
      </c>
      <c r="E329" s="450" t="s">
        <v>312</v>
      </c>
      <c r="F329" s="450"/>
      <c r="G329" s="591">
        <f>G335+G342+G351+G330+G340+G353+G332</f>
        <v>486.291</v>
      </c>
      <c r="H329" s="591">
        <f t="shared" ref="H329:L329" si="119">H335+H342+H351+H330+H340+H353+H332</f>
        <v>0</v>
      </c>
      <c r="I329" s="591">
        <f t="shared" si="119"/>
        <v>857.40499999999997</v>
      </c>
      <c r="J329" s="591">
        <f t="shared" si="119"/>
        <v>210</v>
      </c>
      <c r="K329" s="591">
        <f t="shared" si="119"/>
        <v>371.11399999999998</v>
      </c>
      <c r="L329" s="591">
        <f t="shared" si="119"/>
        <v>210</v>
      </c>
      <c r="M329" s="217">
        <f t="shared" si="98"/>
        <v>0</v>
      </c>
      <c r="N329" s="312">
        <f>N335+N342+N351+N330</f>
        <v>5082.3920000000007</v>
      </c>
      <c r="R329" s="591">
        <f>R335+R342+R351+R330+R340+R353</f>
        <v>349.70000000000005</v>
      </c>
      <c r="S329" s="591">
        <f>S335+S342+S351+S330+S340+S353</f>
        <v>0</v>
      </c>
      <c r="T329" s="309">
        <f t="shared" si="101"/>
        <v>371.11399999999998</v>
      </c>
      <c r="U329" s="498">
        <f>U335+U342+U351+U330+U340+U353</f>
        <v>323.5</v>
      </c>
      <c r="V329" s="498">
        <f>V335+V342+V351+V330+V340+V353</f>
        <v>0</v>
      </c>
      <c r="W329" s="310">
        <f t="shared" si="93"/>
        <v>-371.11399999999998</v>
      </c>
      <c r="X329" s="310">
        <f t="shared" si="94"/>
        <v>0</v>
      </c>
    </row>
    <row r="330" spans="1:24" s="314" customFormat="1" ht="12" customHeight="1" x14ac:dyDescent="0.2">
      <c r="A330" s="746" t="s">
        <v>2008</v>
      </c>
      <c r="B330" s="306" t="s">
        <v>644</v>
      </c>
      <c r="C330" s="354" t="s">
        <v>605</v>
      </c>
      <c r="D330" s="354" t="s">
        <v>620</v>
      </c>
      <c r="E330" s="450">
        <v>9990012210</v>
      </c>
      <c r="F330" s="450"/>
      <c r="G330" s="591">
        <f>G331</f>
        <v>0</v>
      </c>
      <c r="H330" s="591">
        <f>H331</f>
        <v>0</v>
      </c>
      <c r="I330" s="591">
        <f>I331</f>
        <v>93.05</v>
      </c>
      <c r="J330" s="591">
        <f>J331</f>
        <v>0</v>
      </c>
      <c r="K330" s="591">
        <f t="shared" si="106"/>
        <v>93.05</v>
      </c>
      <c r="L330" s="591">
        <f t="shared" si="107"/>
        <v>0</v>
      </c>
      <c r="M330" s="217">
        <f t="shared" si="98"/>
        <v>0</v>
      </c>
      <c r="N330" s="308">
        <f>N331</f>
        <v>136.30000000000001</v>
      </c>
      <c r="R330" s="591">
        <f>R331</f>
        <v>0</v>
      </c>
      <c r="S330" s="591">
        <f>S331</f>
        <v>0</v>
      </c>
      <c r="T330" s="309">
        <f t="shared" si="101"/>
        <v>93.05</v>
      </c>
      <c r="U330" s="498">
        <f>U331</f>
        <v>0</v>
      </c>
      <c r="V330" s="498">
        <f>V331</f>
        <v>0</v>
      </c>
      <c r="W330" s="310">
        <f t="shared" si="93"/>
        <v>-93.05</v>
      </c>
      <c r="X330" s="310">
        <f t="shared" si="94"/>
        <v>0</v>
      </c>
    </row>
    <row r="331" spans="1:24" s="174" customFormat="1" ht="12" customHeight="1" x14ac:dyDescent="0.2">
      <c r="A331" s="739" t="s">
        <v>1558</v>
      </c>
      <c r="B331" s="243" t="s">
        <v>644</v>
      </c>
      <c r="C331" s="353" t="s">
        <v>605</v>
      </c>
      <c r="D331" s="353" t="s">
        <v>620</v>
      </c>
      <c r="E331" s="369">
        <v>9990012210</v>
      </c>
      <c r="F331" s="369" t="s">
        <v>634</v>
      </c>
      <c r="G331" s="288"/>
      <c r="H331" s="288"/>
      <c r="I331" s="288">
        <v>93.05</v>
      </c>
      <c r="J331" s="288"/>
      <c r="K331" s="43">
        <f t="shared" si="106"/>
        <v>93.05</v>
      </c>
      <c r="L331" s="43">
        <f t="shared" si="107"/>
        <v>0</v>
      </c>
      <c r="M331" s="217">
        <f t="shared" si="98"/>
        <v>0</v>
      </c>
      <c r="N331" s="171">
        <v>136.30000000000001</v>
      </c>
      <c r="R331" s="288"/>
      <c r="S331" s="288"/>
      <c r="T331" s="217">
        <f t="shared" si="101"/>
        <v>93.05</v>
      </c>
      <c r="U331" s="288"/>
      <c r="V331" s="288"/>
      <c r="W331" s="203">
        <f t="shared" si="93"/>
        <v>-93.05</v>
      </c>
      <c r="X331" s="203">
        <f t="shared" si="94"/>
        <v>0</v>
      </c>
    </row>
    <row r="332" spans="1:24" s="174" customFormat="1" ht="12" customHeight="1" x14ac:dyDescent="0.2">
      <c r="A332" s="746" t="s">
        <v>2002</v>
      </c>
      <c r="B332" s="306" t="s">
        <v>644</v>
      </c>
      <c r="C332" s="354" t="s">
        <v>605</v>
      </c>
      <c r="D332" s="354" t="s">
        <v>620</v>
      </c>
      <c r="E332" s="697">
        <v>9990055493</v>
      </c>
      <c r="F332" s="697"/>
      <c r="G332" s="591">
        <f>G333+G334</f>
        <v>0</v>
      </c>
      <c r="H332" s="591">
        <f t="shared" ref="H332:L332" si="120">H333+H334</f>
        <v>0</v>
      </c>
      <c r="I332" s="591">
        <f t="shared" si="120"/>
        <v>210</v>
      </c>
      <c r="J332" s="591">
        <f t="shared" si="120"/>
        <v>210</v>
      </c>
      <c r="K332" s="591">
        <f t="shared" si="120"/>
        <v>210</v>
      </c>
      <c r="L332" s="591">
        <f t="shared" si="120"/>
        <v>210</v>
      </c>
      <c r="M332" s="217"/>
      <c r="N332" s="171"/>
      <c r="R332" s="288"/>
      <c r="S332" s="288"/>
      <c r="T332" s="217"/>
      <c r="U332" s="288"/>
      <c r="V332" s="288"/>
      <c r="W332" s="203"/>
      <c r="X332" s="203"/>
    </row>
    <row r="333" spans="1:24" s="174" customFormat="1" ht="12" customHeight="1" x14ac:dyDescent="0.2">
      <c r="A333" s="739" t="s">
        <v>1576</v>
      </c>
      <c r="B333" s="243" t="s">
        <v>644</v>
      </c>
      <c r="C333" s="353" t="s">
        <v>605</v>
      </c>
      <c r="D333" s="353" t="s">
        <v>620</v>
      </c>
      <c r="E333" s="369">
        <v>9990055493</v>
      </c>
      <c r="F333" s="369" t="s">
        <v>129</v>
      </c>
      <c r="G333" s="288"/>
      <c r="H333" s="288"/>
      <c r="I333" s="288">
        <v>161.29032000000001</v>
      </c>
      <c r="J333" s="288">
        <v>161.29032000000001</v>
      </c>
      <c r="K333" s="43">
        <f t="shared" ref="K333:K334" si="121">I333-G333</f>
        <v>161.29032000000001</v>
      </c>
      <c r="L333" s="43">
        <f t="shared" ref="L333:L334" si="122">J333-H333</f>
        <v>161.29032000000001</v>
      </c>
      <c r="M333" s="217"/>
      <c r="N333" s="171"/>
      <c r="R333" s="288"/>
      <c r="S333" s="288"/>
      <c r="T333" s="217"/>
      <c r="U333" s="288"/>
      <c r="V333" s="288"/>
      <c r="W333" s="203"/>
      <c r="X333" s="203"/>
    </row>
    <row r="334" spans="1:24" s="174" customFormat="1" ht="12" customHeight="1" x14ac:dyDescent="0.2">
      <c r="A334" s="739" t="s">
        <v>1578</v>
      </c>
      <c r="B334" s="243" t="s">
        <v>644</v>
      </c>
      <c r="C334" s="353" t="s">
        <v>605</v>
      </c>
      <c r="D334" s="353" t="s">
        <v>620</v>
      </c>
      <c r="E334" s="369">
        <v>9990055493</v>
      </c>
      <c r="F334" s="369" t="s">
        <v>524</v>
      </c>
      <c r="G334" s="288"/>
      <c r="H334" s="288"/>
      <c r="I334" s="288">
        <v>48.709679999999999</v>
      </c>
      <c r="J334" s="288">
        <v>48.709679999999999</v>
      </c>
      <c r="K334" s="43">
        <f t="shared" si="121"/>
        <v>48.709679999999999</v>
      </c>
      <c r="L334" s="43">
        <f t="shared" si="122"/>
        <v>48.709679999999999</v>
      </c>
      <c r="M334" s="217"/>
      <c r="N334" s="171"/>
      <c r="R334" s="288"/>
      <c r="S334" s="288"/>
      <c r="T334" s="217"/>
      <c r="U334" s="288"/>
      <c r="V334" s="288"/>
      <c r="W334" s="203"/>
      <c r="X334" s="203"/>
    </row>
    <row r="335" spans="1:24" s="307" customFormat="1" ht="15" x14ac:dyDescent="0.2">
      <c r="A335" s="746" t="s">
        <v>224</v>
      </c>
      <c r="B335" s="306" t="s">
        <v>644</v>
      </c>
      <c r="C335" s="354" t="s">
        <v>605</v>
      </c>
      <c r="D335" s="354" t="s">
        <v>620</v>
      </c>
      <c r="E335" s="450" t="s">
        <v>332</v>
      </c>
      <c r="F335" s="450"/>
      <c r="G335" s="591">
        <f>SUM(G336:G339)</f>
        <v>450.2</v>
      </c>
      <c r="H335" s="591">
        <f>SUM(H336:H339)</f>
        <v>0</v>
      </c>
      <c r="I335" s="591">
        <f>SUM(I336:I339)</f>
        <v>450.2</v>
      </c>
      <c r="J335" s="591">
        <f>SUM(J336:J339)</f>
        <v>0</v>
      </c>
      <c r="K335" s="591">
        <f t="shared" si="106"/>
        <v>0</v>
      </c>
      <c r="L335" s="591">
        <f t="shared" si="107"/>
        <v>0</v>
      </c>
      <c r="M335" s="217">
        <f t="shared" si="98"/>
        <v>0</v>
      </c>
      <c r="N335" s="308">
        <f>SUM(N336:N339)</f>
        <v>213.7</v>
      </c>
      <c r="R335" s="591">
        <f>SUM(R336:R339)</f>
        <v>349.70000000000005</v>
      </c>
      <c r="S335" s="591">
        <f>SUM(S336:S339)</f>
        <v>0</v>
      </c>
      <c r="T335" s="309">
        <f t="shared" si="101"/>
        <v>0</v>
      </c>
      <c r="U335" s="498">
        <f>SUM(U336:U339)</f>
        <v>323.5</v>
      </c>
      <c r="V335" s="498">
        <f>SUM(V336:V339)</f>
        <v>0</v>
      </c>
      <c r="W335" s="310">
        <f t="shared" si="93"/>
        <v>0</v>
      </c>
      <c r="X335" s="310">
        <f t="shared" si="94"/>
        <v>0</v>
      </c>
    </row>
    <row r="336" spans="1:24" ht="15" x14ac:dyDescent="0.2">
      <c r="A336" s="739" t="s">
        <v>523</v>
      </c>
      <c r="B336" s="243" t="s">
        <v>644</v>
      </c>
      <c r="C336" s="353" t="s">
        <v>605</v>
      </c>
      <c r="D336" s="353" t="s">
        <v>620</v>
      </c>
      <c r="E336" s="369" t="s">
        <v>332</v>
      </c>
      <c r="F336" s="369" t="s">
        <v>129</v>
      </c>
      <c r="G336" s="288">
        <v>297.08141000000001</v>
      </c>
      <c r="H336" s="288"/>
      <c r="I336" s="288">
        <v>297.08141000000001</v>
      </c>
      <c r="J336" s="288"/>
      <c r="K336" s="43">
        <f t="shared" si="106"/>
        <v>0</v>
      </c>
      <c r="L336" s="43">
        <f t="shared" si="107"/>
        <v>0</v>
      </c>
      <c r="M336" s="217">
        <f t="shared" si="98"/>
        <v>0</v>
      </c>
      <c r="N336" s="171">
        <f>167.5-38.9</f>
        <v>128.6</v>
      </c>
      <c r="R336" s="288">
        <v>221.65899999999999</v>
      </c>
      <c r="S336" s="288"/>
      <c r="T336" s="217">
        <f t="shared" si="101"/>
        <v>0</v>
      </c>
      <c r="U336" s="288">
        <v>201.53700000000001</v>
      </c>
      <c r="V336" s="288">
        <v>0</v>
      </c>
      <c r="W336" s="203">
        <f t="shared" si="93"/>
        <v>0</v>
      </c>
      <c r="X336" s="203">
        <f t="shared" si="94"/>
        <v>0</v>
      </c>
    </row>
    <row r="337" spans="1:24" ht="25.5" x14ac:dyDescent="0.2">
      <c r="A337" s="739" t="s">
        <v>572</v>
      </c>
      <c r="B337" s="243" t="s">
        <v>644</v>
      </c>
      <c r="C337" s="353" t="s">
        <v>605</v>
      </c>
      <c r="D337" s="353" t="s">
        <v>620</v>
      </c>
      <c r="E337" s="369" t="s">
        <v>332</v>
      </c>
      <c r="F337" s="369" t="s">
        <v>524</v>
      </c>
      <c r="G337" s="288">
        <v>89.718590000000006</v>
      </c>
      <c r="H337" s="288"/>
      <c r="I337" s="288">
        <v>89.718590000000006</v>
      </c>
      <c r="J337" s="288"/>
      <c r="K337" s="43">
        <f t="shared" si="106"/>
        <v>0</v>
      </c>
      <c r="L337" s="43">
        <f t="shared" si="107"/>
        <v>0</v>
      </c>
      <c r="M337" s="217">
        <f t="shared" si="98"/>
        <v>0</v>
      </c>
      <c r="N337" s="171">
        <v>38.9</v>
      </c>
      <c r="R337" s="288">
        <v>66.941000000000003</v>
      </c>
      <c r="S337" s="288"/>
      <c r="T337" s="217">
        <f t="shared" si="101"/>
        <v>0</v>
      </c>
      <c r="U337" s="288">
        <v>60.863</v>
      </c>
      <c r="V337" s="288">
        <v>0</v>
      </c>
      <c r="W337" s="203">
        <f t="shared" si="93"/>
        <v>0</v>
      </c>
      <c r="X337" s="203">
        <f t="shared" si="94"/>
        <v>0</v>
      </c>
    </row>
    <row r="338" spans="1:24" ht="15" hidden="1" x14ac:dyDescent="0.2">
      <c r="A338" s="124" t="s">
        <v>233</v>
      </c>
      <c r="B338" s="243" t="s">
        <v>644</v>
      </c>
      <c r="C338" s="353" t="s">
        <v>605</v>
      </c>
      <c r="D338" s="353" t="s">
        <v>620</v>
      </c>
      <c r="E338" s="369" t="s">
        <v>332</v>
      </c>
      <c r="F338" s="369" t="s">
        <v>635</v>
      </c>
      <c r="G338" s="288">
        <v>0</v>
      </c>
      <c r="H338" s="288"/>
      <c r="I338" s="288">
        <v>0</v>
      </c>
      <c r="J338" s="288"/>
      <c r="K338" s="43">
        <f t="shared" si="106"/>
        <v>0</v>
      </c>
      <c r="L338" s="43">
        <f t="shared" si="107"/>
        <v>0</v>
      </c>
      <c r="M338" s="217">
        <f t="shared" si="98"/>
        <v>0</v>
      </c>
      <c r="N338" s="171">
        <v>12.4</v>
      </c>
      <c r="R338" s="288">
        <v>0</v>
      </c>
      <c r="S338" s="288"/>
      <c r="T338" s="217">
        <f t="shared" si="101"/>
        <v>0</v>
      </c>
      <c r="U338" s="288">
        <v>44.3</v>
      </c>
      <c r="V338" s="288">
        <v>0</v>
      </c>
      <c r="W338" s="203">
        <f t="shared" si="93"/>
        <v>0</v>
      </c>
      <c r="X338" s="203">
        <f t="shared" si="94"/>
        <v>0</v>
      </c>
    </row>
    <row r="339" spans="1:24" ht="15" x14ac:dyDescent="0.2">
      <c r="A339" s="739" t="s">
        <v>834</v>
      </c>
      <c r="B339" s="243" t="s">
        <v>644</v>
      </c>
      <c r="C339" s="353" t="s">
        <v>605</v>
      </c>
      <c r="D339" s="353" t="s">
        <v>620</v>
      </c>
      <c r="E339" s="369" t="s">
        <v>332</v>
      </c>
      <c r="F339" s="369" t="s">
        <v>634</v>
      </c>
      <c r="G339" s="288">
        <v>63.4</v>
      </c>
      <c r="H339" s="288"/>
      <c r="I339" s="288">
        <v>63.4</v>
      </c>
      <c r="J339" s="288"/>
      <c r="K339" s="43">
        <f t="shared" si="106"/>
        <v>0</v>
      </c>
      <c r="L339" s="43">
        <f t="shared" si="107"/>
        <v>0</v>
      </c>
      <c r="M339" s="217">
        <f t="shared" si="98"/>
        <v>0</v>
      </c>
      <c r="N339" s="171">
        <v>33.799999999999997</v>
      </c>
      <c r="R339" s="288">
        <v>61.1</v>
      </c>
      <c r="S339" s="288"/>
      <c r="T339" s="217">
        <f t="shared" si="101"/>
        <v>0</v>
      </c>
      <c r="U339" s="288">
        <v>16.8</v>
      </c>
      <c r="V339" s="288">
        <v>0</v>
      </c>
      <c r="W339" s="203">
        <f t="shared" si="93"/>
        <v>0</v>
      </c>
      <c r="X339" s="203">
        <f t="shared" si="94"/>
        <v>0</v>
      </c>
    </row>
    <row r="340" spans="1:24" s="307" customFormat="1" ht="27" customHeight="1" x14ac:dyDescent="0.2">
      <c r="A340" s="746" t="s">
        <v>976</v>
      </c>
      <c r="B340" s="306" t="s">
        <v>644</v>
      </c>
      <c r="C340" s="354" t="s">
        <v>605</v>
      </c>
      <c r="D340" s="354" t="s">
        <v>620</v>
      </c>
      <c r="E340" s="450">
        <v>9990082090</v>
      </c>
      <c r="F340" s="450"/>
      <c r="G340" s="591">
        <f>G341</f>
        <v>36.091000000000001</v>
      </c>
      <c r="H340" s="591">
        <f>H341</f>
        <v>0</v>
      </c>
      <c r="I340" s="591">
        <f>I341</f>
        <v>104.155</v>
      </c>
      <c r="J340" s="591">
        <f>J341</f>
        <v>0</v>
      </c>
      <c r="K340" s="591">
        <f t="shared" si="106"/>
        <v>68.063999999999993</v>
      </c>
      <c r="L340" s="591">
        <f t="shared" si="107"/>
        <v>0</v>
      </c>
      <c r="M340" s="217">
        <f t="shared" si="98"/>
        <v>0</v>
      </c>
      <c r="N340" s="308"/>
      <c r="R340" s="591">
        <f>R341</f>
        <v>0</v>
      </c>
      <c r="S340" s="591">
        <f>S341</f>
        <v>0</v>
      </c>
      <c r="T340" s="309">
        <f t="shared" si="101"/>
        <v>68.063999999999993</v>
      </c>
      <c r="U340" s="498">
        <f>U341</f>
        <v>0</v>
      </c>
      <c r="V340" s="498">
        <f>V341</f>
        <v>0</v>
      </c>
      <c r="W340" s="310">
        <f t="shared" si="93"/>
        <v>-68.063999999999993</v>
      </c>
      <c r="X340" s="310">
        <f t="shared" si="94"/>
        <v>0</v>
      </c>
    </row>
    <row r="341" spans="1:24" ht="12" customHeight="1" x14ac:dyDescent="0.2">
      <c r="A341" s="744" t="s">
        <v>233</v>
      </c>
      <c r="B341" s="243" t="s">
        <v>644</v>
      </c>
      <c r="C341" s="353" t="s">
        <v>605</v>
      </c>
      <c r="D341" s="353" t="s">
        <v>620</v>
      </c>
      <c r="E341" s="369">
        <v>9990082090</v>
      </c>
      <c r="F341" s="369">
        <v>242</v>
      </c>
      <c r="G341" s="288">
        <v>36.091000000000001</v>
      </c>
      <c r="H341" s="288"/>
      <c r="I341" s="288">
        <v>104.155</v>
      </c>
      <c r="J341" s="288"/>
      <c r="K341" s="43">
        <f t="shared" si="106"/>
        <v>68.063999999999993</v>
      </c>
      <c r="L341" s="43">
        <f t="shared" si="107"/>
        <v>0</v>
      </c>
      <c r="M341" s="217">
        <f t="shared" si="98"/>
        <v>0</v>
      </c>
      <c r="N341" s="171"/>
      <c r="R341" s="288">
        <v>0</v>
      </c>
      <c r="S341" s="288"/>
      <c r="T341" s="217">
        <f t="shared" si="101"/>
        <v>68.063999999999993</v>
      </c>
      <c r="U341" s="288">
        <v>0</v>
      </c>
      <c r="V341" s="288"/>
      <c r="W341" s="203">
        <f t="shared" si="93"/>
        <v>-68.063999999999993</v>
      </c>
      <c r="X341" s="203">
        <f t="shared" si="94"/>
        <v>0</v>
      </c>
    </row>
    <row r="342" spans="1:24" s="314" customFormat="1" ht="12" hidden="1" customHeight="1" x14ac:dyDescent="0.2">
      <c r="A342" s="451" t="s">
        <v>643</v>
      </c>
      <c r="B342" s="306" t="s">
        <v>644</v>
      </c>
      <c r="C342" s="354" t="s">
        <v>605</v>
      </c>
      <c r="D342" s="354" t="s">
        <v>620</v>
      </c>
      <c r="E342" s="450" t="s">
        <v>522</v>
      </c>
      <c r="F342" s="450"/>
      <c r="G342" s="498">
        <f>SUM(G343:G350)</f>
        <v>0</v>
      </c>
      <c r="H342" s="498">
        <f>SUM(H343:H350)</f>
        <v>0</v>
      </c>
      <c r="I342" s="591">
        <f>SUM(I343:I350)</f>
        <v>0</v>
      </c>
      <c r="J342" s="591">
        <f>SUM(J343:J350)</f>
        <v>0</v>
      </c>
      <c r="K342" s="591">
        <f t="shared" si="106"/>
        <v>0</v>
      </c>
      <c r="L342" s="591">
        <f t="shared" si="107"/>
        <v>0</v>
      </c>
      <c r="M342" s="217">
        <f t="shared" si="98"/>
        <v>0</v>
      </c>
      <c r="N342" s="292">
        <f>SUM(N343:N350)</f>
        <v>4732.3920000000007</v>
      </c>
      <c r="R342" s="591">
        <f>SUM(R343:R350)</f>
        <v>0</v>
      </c>
      <c r="S342" s="591">
        <f>SUM(S343:S350)</f>
        <v>0</v>
      </c>
      <c r="T342" s="309">
        <f t="shared" si="101"/>
        <v>0</v>
      </c>
      <c r="U342" s="498">
        <f>SUM(U343:U350)</f>
        <v>0</v>
      </c>
      <c r="V342" s="498">
        <f>SUM(V343:V350)</f>
        <v>0</v>
      </c>
      <c r="W342" s="310">
        <f t="shared" si="93"/>
        <v>0</v>
      </c>
      <c r="X342" s="310">
        <f t="shared" si="94"/>
        <v>0</v>
      </c>
    </row>
    <row r="343" spans="1:24" s="174" customFormat="1" ht="15" hidden="1" x14ac:dyDescent="0.2">
      <c r="A343" s="124" t="s">
        <v>523</v>
      </c>
      <c r="B343" s="243" t="s">
        <v>644</v>
      </c>
      <c r="C343" s="353" t="s">
        <v>605</v>
      </c>
      <c r="D343" s="353" t="s">
        <v>620</v>
      </c>
      <c r="E343" s="369" t="s">
        <v>522</v>
      </c>
      <c r="F343" s="369" t="s">
        <v>129</v>
      </c>
      <c r="G343" s="288"/>
      <c r="H343" s="288"/>
      <c r="I343" s="288"/>
      <c r="J343" s="288"/>
      <c r="K343" s="43">
        <f t="shared" si="106"/>
        <v>0</v>
      </c>
      <c r="L343" s="43">
        <f t="shared" si="107"/>
        <v>0</v>
      </c>
      <c r="M343" s="217">
        <f t="shared" si="98"/>
        <v>0</v>
      </c>
      <c r="N343" s="43">
        <v>3498.069</v>
      </c>
      <c r="P343" s="43">
        <v>2989.3049999999998</v>
      </c>
      <c r="Q343" s="258"/>
      <c r="R343" s="288"/>
      <c r="S343" s="288"/>
      <c r="T343" s="217">
        <f t="shared" si="101"/>
        <v>0</v>
      </c>
      <c r="U343" s="288"/>
      <c r="V343" s="288"/>
      <c r="W343" s="203">
        <f t="shared" si="93"/>
        <v>0</v>
      </c>
      <c r="X343" s="203">
        <f t="shared" si="94"/>
        <v>0</v>
      </c>
    </row>
    <row r="344" spans="1:24" s="174" customFormat="1" ht="15" hidden="1" x14ac:dyDescent="0.2">
      <c r="A344" s="124" t="s">
        <v>191</v>
      </c>
      <c r="B344" s="243" t="s">
        <v>644</v>
      </c>
      <c r="C344" s="353" t="s">
        <v>605</v>
      </c>
      <c r="D344" s="353" t="s">
        <v>620</v>
      </c>
      <c r="E344" s="369" t="s">
        <v>522</v>
      </c>
      <c r="F344" s="369" t="s">
        <v>636</v>
      </c>
      <c r="G344" s="288"/>
      <c r="H344" s="288"/>
      <c r="I344" s="288"/>
      <c r="J344" s="288"/>
      <c r="K344" s="43">
        <f t="shared" si="106"/>
        <v>0</v>
      </c>
      <c r="L344" s="43">
        <f t="shared" si="107"/>
        <v>0</v>
      </c>
      <c r="M344" s="217">
        <f t="shared" si="98"/>
        <v>0</v>
      </c>
      <c r="N344" s="43">
        <v>10</v>
      </c>
      <c r="P344" s="43">
        <v>10</v>
      </c>
      <c r="Q344" s="258"/>
      <c r="R344" s="288"/>
      <c r="S344" s="288"/>
      <c r="T344" s="217">
        <f t="shared" si="101"/>
        <v>0</v>
      </c>
      <c r="U344" s="288"/>
      <c r="V344" s="288"/>
      <c r="W344" s="203">
        <f t="shared" si="93"/>
        <v>0</v>
      </c>
      <c r="X344" s="203">
        <f t="shared" si="94"/>
        <v>0</v>
      </c>
    </row>
    <row r="345" spans="1:24" s="174" customFormat="1" ht="25.5" hidden="1" x14ac:dyDescent="0.2">
      <c r="A345" s="124" t="s">
        <v>572</v>
      </c>
      <c r="B345" s="243" t="s">
        <v>644</v>
      </c>
      <c r="C345" s="353" t="s">
        <v>605</v>
      </c>
      <c r="D345" s="353" t="s">
        <v>620</v>
      </c>
      <c r="E345" s="369" t="s">
        <v>522</v>
      </c>
      <c r="F345" s="369" t="s">
        <v>524</v>
      </c>
      <c r="G345" s="288"/>
      <c r="H345" s="288"/>
      <c r="I345" s="288"/>
      <c r="J345" s="288"/>
      <c r="K345" s="43">
        <f t="shared" si="106"/>
        <v>0</v>
      </c>
      <c r="L345" s="43">
        <f t="shared" si="107"/>
        <v>0</v>
      </c>
      <c r="M345" s="217">
        <f t="shared" si="98"/>
        <v>0</v>
      </c>
      <c r="N345" s="43">
        <f>1030.2+52.2</f>
        <v>1082.4000000000001</v>
      </c>
      <c r="P345" s="43">
        <v>902.80700000000002</v>
      </c>
      <c r="Q345" s="258"/>
      <c r="R345" s="288"/>
      <c r="S345" s="288"/>
      <c r="T345" s="217">
        <f t="shared" si="101"/>
        <v>0</v>
      </c>
      <c r="U345" s="288"/>
      <c r="V345" s="288"/>
      <c r="W345" s="203">
        <f t="shared" si="93"/>
        <v>0</v>
      </c>
      <c r="X345" s="203">
        <f t="shared" si="94"/>
        <v>0</v>
      </c>
    </row>
    <row r="346" spans="1:24" s="174" customFormat="1" ht="12" hidden="1" customHeight="1" x14ac:dyDescent="0.2">
      <c r="A346" s="124" t="s">
        <v>233</v>
      </c>
      <c r="B346" s="243" t="s">
        <v>644</v>
      </c>
      <c r="C346" s="353" t="s">
        <v>605</v>
      </c>
      <c r="D346" s="353" t="s">
        <v>620</v>
      </c>
      <c r="E346" s="369" t="s">
        <v>522</v>
      </c>
      <c r="F346" s="369" t="s">
        <v>635</v>
      </c>
      <c r="G346" s="288"/>
      <c r="H346" s="288"/>
      <c r="I346" s="288"/>
      <c r="J346" s="288"/>
      <c r="K346" s="43">
        <f t="shared" si="106"/>
        <v>0</v>
      </c>
      <c r="L346" s="43">
        <f t="shared" si="107"/>
        <v>0</v>
      </c>
      <c r="M346" s="217">
        <f t="shared" si="98"/>
        <v>0</v>
      </c>
      <c r="N346" s="43">
        <v>20</v>
      </c>
      <c r="P346" s="43">
        <v>20</v>
      </c>
      <c r="Q346" s="258"/>
      <c r="R346" s="288"/>
      <c r="S346" s="288"/>
      <c r="T346" s="217">
        <f t="shared" si="101"/>
        <v>0</v>
      </c>
      <c r="U346" s="288"/>
      <c r="V346" s="288"/>
      <c r="W346" s="203">
        <f t="shared" si="93"/>
        <v>0</v>
      </c>
      <c r="X346" s="203">
        <f t="shared" si="94"/>
        <v>0</v>
      </c>
    </row>
    <row r="347" spans="1:24" s="174" customFormat="1" ht="15.75" hidden="1" customHeight="1" x14ac:dyDescent="0.2">
      <c r="A347" s="124" t="s">
        <v>834</v>
      </c>
      <c r="B347" s="243" t="s">
        <v>644</v>
      </c>
      <c r="C347" s="353" t="s">
        <v>605</v>
      </c>
      <c r="D347" s="353" t="s">
        <v>620</v>
      </c>
      <c r="E347" s="369" t="s">
        <v>522</v>
      </c>
      <c r="F347" s="369" t="s">
        <v>634</v>
      </c>
      <c r="G347" s="288"/>
      <c r="H347" s="288"/>
      <c r="I347" s="288"/>
      <c r="J347" s="288"/>
      <c r="K347" s="43">
        <f t="shared" si="106"/>
        <v>0</v>
      </c>
      <c r="L347" s="43">
        <f t="shared" si="107"/>
        <v>0</v>
      </c>
      <c r="M347" s="217">
        <f t="shared" si="98"/>
        <v>0</v>
      </c>
      <c r="N347" s="43">
        <v>108.83</v>
      </c>
      <c r="P347" s="43">
        <v>563.06200000000001</v>
      </c>
      <c r="Q347" s="258"/>
      <c r="R347" s="288"/>
      <c r="S347" s="288"/>
      <c r="T347" s="217">
        <f t="shared" si="101"/>
        <v>0</v>
      </c>
      <c r="U347" s="288"/>
      <c r="V347" s="288"/>
      <c r="W347" s="203">
        <f t="shared" si="93"/>
        <v>0</v>
      </c>
      <c r="X347" s="203">
        <f t="shared" si="94"/>
        <v>0</v>
      </c>
    </row>
    <row r="348" spans="1:24" s="174" customFormat="1" ht="16.5" hidden="1" customHeight="1" x14ac:dyDescent="0.2">
      <c r="A348" s="124" t="s">
        <v>290</v>
      </c>
      <c r="B348" s="243" t="s">
        <v>644</v>
      </c>
      <c r="C348" s="353" t="s">
        <v>605</v>
      </c>
      <c r="D348" s="353" t="s">
        <v>620</v>
      </c>
      <c r="E348" s="369" t="s">
        <v>522</v>
      </c>
      <c r="F348" s="369" t="s">
        <v>289</v>
      </c>
      <c r="G348" s="288"/>
      <c r="H348" s="288"/>
      <c r="I348" s="288"/>
      <c r="J348" s="288"/>
      <c r="K348" s="43">
        <f t="shared" si="106"/>
        <v>0</v>
      </c>
      <c r="L348" s="43">
        <f t="shared" si="107"/>
        <v>0</v>
      </c>
      <c r="M348" s="217">
        <f t="shared" si="98"/>
        <v>0</v>
      </c>
      <c r="N348" s="43">
        <v>0.05</v>
      </c>
      <c r="P348" s="43">
        <v>0</v>
      </c>
      <c r="Q348" s="258"/>
      <c r="R348" s="288"/>
      <c r="S348" s="288"/>
      <c r="T348" s="217">
        <f t="shared" si="101"/>
        <v>0</v>
      </c>
      <c r="U348" s="288"/>
      <c r="V348" s="288"/>
      <c r="W348" s="203">
        <f t="shared" si="93"/>
        <v>0</v>
      </c>
      <c r="X348" s="203">
        <f t="shared" si="94"/>
        <v>0</v>
      </c>
    </row>
    <row r="349" spans="1:24" s="174" customFormat="1" ht="15" hidden="1" x14ac:dyDescent="0.2">
      <c r="A349" s="124" t="s">
        <v>837</v>
      </c>
      <c r="B349" s="243" t="s">
        <v>644</v>
      </c>
      <c r="C349" s="353" t="s">
        <v>605</v>
      </c>
      <c r="D349" s="353" t="s">
        <v>620</v>
      </c>
      <c r="E349" s="369" t="s">
        <v>522</v>
      </c>
      <c r="F349" s="369" t="s">
        <v>231</v>
      </c>
      <c r="G349" s="288"/>
      <c r="H349" s="288"/>
      <c r="I349" s="288"/>
      <c r="J349" s="288"/>
      <c r="K349" s="43">
        <f t="shared" si="106"/>
        <v>0</v>
      </c>
      <c r="L349" s="43">
        <f t="shared" si="107"/>
        <v>0</v>
      </c>
      <c r="M349" s="217">
        <f t="shared" si="98"/>
        <v>0</v>
      </c>
      <c r="N349" s="43">
        <v>12.943</v>
      </c>
      <c r="P349" s="43">
        <v>13.319000000000001</v>
      </c>
      <c r="Q349" s="258"/>
      <c r="R349" s="288"/>
      <c r="S349" s="288"/>
      <c r="T349" s="217">
        <f t="shared" si="101"/>
        <v>0</v>
      </c>
      <c r="U349" s="288"/>
      <c r="V349" s="288"/>
      <c r="W349" s="203">
        <f t="shared" ref="W349:W434" si="123">G349-I349</f>
        <v>0</v>
      </c>
      <c r="X349" s="203">
        <f t="shared" ref="X349:X434" si="124">K349+W349</f>
        <v>0</v>
      </c>
    </row>
    <row r="350" spans="1:24" s="174" customFormat="1" ht="15" hidden="1" x14ac:dyDescent="0.2">
      <c r="A350" s="124" t="s">
        <v>303</v>
      </c>
      <c r="B350" s="243" t="s">
        <v>644</v>
      </c>
      <c r="C350" s="353" t="s">
        <v>605</v>
      </c>
      <c r="D350" s="353" t="s">
        <v>620</v>
      </c>
      <c r="E350" s="369" t="s">
        <v>522</v>
      </c>
      <c r="F350" s="369" t="s">
        <v>302</v>
      </c>
      <c r="G350" s="288"/>
      <c r="H350" s="288"/>
      <c r="I350" s="288"/>
      <c r="J350" s="288"/>
      <c r="K350" s="43">
        <f t="shared" si="106"/>
        <v>0</v>
      </c>
      <c r="L350" s="43">
        <f t="shared" si="107"/>
        <v>0</v>
      </c>
      <c r="M350" s="217">
        <f t="shared" si="98"/>
        <v>0</v>
      </c>
      <c r="N350" s="43">
        <v>0.1</v>
      </c>
      <c r="R350" s="288"/>
      <c r="S350" s="288"/>
      <c r="T350" s="217">
        <f t="shared" si="101"/>
        <v>0</v>
      </c>
      <c r="U350" s="288"/>
      <c r="V350" s="288"/>
      <c r="W350" s="203">
        <f t="shared" si="123"/>
        <v>0</v>
      </c>
      <c r="X350" s="203">
        <f t="shared" si="124"/>
        <v>0</v>
      </c>
    </row>
    <row r="351" spans="1:24" s="307" customFormat="1" ht="15" hidden="1" x14ac:dyDescent="0.2">
      <c r="A351" s="451" t="s">
        <v>1001</v>
      </c>
      <c r="B351" s="306" t="s">
        <v>644</v>
      </c>
      <c r="C351" s="354" t="s">
        <v>605</v>
      </c>
      <c r="D351" s="354" t="s">
        <v>620</v>
      </c>
      <c r="E351" s="450" t="s">
        <v>1000</v>
      </c>
      <c r="F351" s="450"/>
      <c r="G351" s="498">
        <f>G352</f>
        <v>0</v>
      </c>
      <c r="H351" s="498">
        <f>H352</f>
        <v>0</v>
      </c>
      <c r="I351" s="591">
        <f>I352</f>
        <v>0</v>
      </c>
      <c r="J351" s="591">
        <f>J352</f>
        <v>0</v>
      </c>
      <c r="K351" s="591">
        <f t="shared" si="106"/>
        <v>0</v>
      </c>
      <c r="L351" s="591">
        <f t="shared" si="107"/>
        <v>0</v>
      </c>
      <c r="M351" s="217">
        <f t="shared" si="98"/>
        <v>0</v>
      </c>
      <c r="N351" s="308">
        <f>N352</f>
        <v>0</v>
      </c>
      <c r="R351" s="591">
        <f>R352</f>
        <v>0</v>
      </c>
      <c r="S351" s="591">
        <f>S352</f>
        <v>0</v>
      </c>
      <c r="T351" s="309">
        <f t="shared" si="101"/>
        <v>0</v>
      </c>
      <c r="U351" s="498">
        <f>U352</f>
        <v>0</v>
      </c>
      <c r="V351" s="498">
        <f>V352</f>
        <v>0</v>
      </c>
      <c r="W351" s="310">
        <f t="shared" si="123"/>
        <v>0</v>
      </c>
      <c r="X351" s="310">
        <f t="shared" si="124"/>
        <v>0</v>
      </c>
    </row>
    <row r="352" spans="1:24" ht="15" hidden="1" x14ac:dyDescent="0.2">
      <c r="A352" s="124" t="s">
        <v>834</v>
      </c>
      <c r="B352" s="243" t="s">
        <v>644</v>
      </c>
      <c r="C352" s="353" t="s">
        <v>605</v>
      </c>
      <c r="D352" s="353" t="s">
        <v>620</v>
      </c>
      <c r="E352" s="369" t="s">
        <v>1000</v>
      </c>
      <c r="F352" s="369" t="s">
        <v>634</v>
      </c>
      <c r="G352" s="288"/>
      <c r="H352" s="288"/>
      <c r="I352" s="288"/>
      <c r="J352" s="288"/>
      <c r="K352" s="43">
        <f t="shared" si="106"/>
        <v>0</v>
      </c>
      <c r="L352" s="43">
        <f t="shared" si="107"/>
        <v>0</v>
      </c>
      <c r="M352" s="217">
        <f t="shared" si="98"/>
        <v>0</v>
      </c>
      <c r="N352" s="171">
        <v>0</v>
      </c>
      <c r="R352" s="288"/>
      <c r="S352" s="288"/>
      <c r="T352" s="217">
        <f t="shared" si="101"/>
        <v>0</v>
      </c>
      <c r="U352" s="288"/>
      <c r="V352" s="288"/>
      <c r="W352" s="203">
        <f t="shared" si="123"/>
        <v>0</v>
      </c>
      <c r="X352" s="203">
        <f t="shared" si="124"/>
        <v>0</v>
      </c>
    </row>
    <row r="353" spans="1:24" s="307" customFormat="1" ht="15" hidden="1" x14ac:dyDescent="0.2">
      <c r="A353" s="451" t="s">
        <v>1050</v>
      </c>
      <c r="B353" s="306" t="s">
        <v>644</v>
      </c>
      <c r="C353" s="354" t="s">
        <v>605</v>
      </c>
      <c r="D353" s="354" t="s">
        <v>620</v>
      </c>
      <c r="E353" s="450" t="s">
        <v>1049</v>
      </c>
      <c r="F353" s="450"/>
      <c r="G353" s="498">
        <f>G354+G355+G356</f>
        <v>0</v>
      </c>
      <c r="H353" s="498">
        <f>H354+H355+H356</f>
        <v>0</v>
      </c>
      <c r="I353" s="591">
        <f>I354+I355+I356</f>
        <v>0</v>
      </c>
      <c r="J353" s="591">
        <f>J354+J355+J356</f>
        <v>0</v>
      </c>
      <c r="K353" s="591">
        <f t="shared" si="106"/>
        <v>0</v>
      </c>
      <c r="L353" s="591">
        <f t="shared" si="107"/>
        <v>0</v>
      </c>
      <c r="M353" s="217">
        <f t="shared" si="98"/>
        <v>0</v>
      </c>
      <c r="N353" s="308"/>
      <c r="R353" s="591">
        <f>R354+R355+R356</f>
        <v>0</v>
      </c>
      <c r="S353" s="591">
        <f>S354+S355+S356</f>
        <v>0</v>
      </c>
      <c r="T353" s="309"/>
      <c r="U353" s="498">
        <f>U354+U355+U356</f>
        <v>0</v>
      </c>
      <c r="V353" s="498">
        <f>V354+V355+V356</f>
        <v>0</v>
      </c>
      <c r="W353" s="310">
        <f t="shared" si="123"/>
        <v>0</v>
      </c>
      <c r="X353" s="310">
        <f t="shared" si="124"/>
        <v>0</v>
      </c>
    </row>
    <row r="354" spans="1:24" ht="15" hidden="1" x14ac:dyDescent="0.2">
      <c r="A354" s="124" t="s">
        <v>523</v>
      </c>
      <c r="B354" s="243" t="s">
        <v>644</v>
      </c>
      <c r="C354" s="353" t="s">
        <v>605</v>
      </c>
      <c r="D354" s="353" t="s">
        <v>620</v>
      </c>
      <c r="E354" s="369" t="s">
        <v>1049</v>
      </c>
      <c r="F354" s="369" t="s">
        <v>129</v>
      </c>
      <c r="G354" s="288"/>
      <c r="H354" s="288"/>
      <c r="I354" s="288"/>
      <c r="J354" s="288"/>
      <c r="K354" s="43">
        <f t="shared" si="106"/>
        <v>0</v>
      </c>
      <c r="L354" s="43">
        <f t="shared" si="107"/>
        <v>0</v>
      </c>
      <c r="M354" s="217">
        <f t="shared" si="98"/>
        <v>0</v>
      </c>
      <c r="N354" s="171"/>
      <c r="R354" s="288"/>
      <c r="S354" s="288"/>
      <c r="T354" s="217"/>
      <c r="U354" s="288"/>
      <c r="V354" s="288"/>
      <c r="W354" s="203">
        <f t="shared" si="123"/>
        <v>0</v>
      </c>
      <c r="X354" s="203">
        <f t="shared" si="124"/>
        <v>0</v>
      </c>
    </row>
    <row r="355" spans="1:24" ht="25.5" hidden="1" x14ac:dyDescent="0.2">
      <c r="A355" s="124" t="s">
        <v>572</v>
      </c>
      <c r="B355" s="243" t="s">
        <v>644</v>
      </c>
      <c r="C355" s="353" t="s">
        <v>605</v>
      </c>
      <c r="D355" s="353" t="s">
        <v>620</v>
      </c>
      <c r="E355" s="369" t="s">
        <v>1049</v>
      </c>
      <c r="F355" s="369" t="s">
        <v>524</v>
      </c>
      <c r="G355" s="288"/>
      <c r="H355" s="288"/>
      <c r="I355" s="288"/>
      <c r="J355" s="288"/>
      <c r="K355" s="43">
        <f t="shared" si="106"/>
        <v>0</v>
      </c>
      <c r="L355" s="43">
        <f t="shared" si="107"/>
        <v>0</v>
      </c>
      <c r="M355" s="217">
        <f t="shared" si="98"/>
        <v>0</v>
      </c>
      <c r="N355" s="171"/>
      <c r="R355" s="288"/>
      <c r="S355" s="288"/>
      <c r="T355" s="217"/>
      <c r="U355" s="288"/>
      <c r="V355" s="288"/>
      <c r="W355" s="203">
        <f t="shared" si="123"/>
        <v>0</v>
      </c>
      <c r="X355" s="203">
        <f t="shared" si="124"/>
        <v>0</v>
      </c>
    </row>
    <row r="356" spans="1:24" ht="15" hidden="1" x14ac:dyDescent="0.2">
      <c r="A356" s="124" t="s">
        <v>834</v>
      </c>
      <c r="B356" s="243" t="s">
        <v>644</v>
      </c>
      <c r="C356" s="353" t="s">
        <v>605</v>
      </c>
      <c r="D356" s="353" t="s">
        <v>620</v>
      </c>
      <c r="E356" s="369" t="s">
        <v>1049</v>
      </c>
      <c r="F356" s="369" t="s">
        <v>634</v>
      </c>
      <c r="G356" s="288"/>
      <c r="H356" s="288"/>
      <c r="I356" s="288"/>
      <c r="J356" s="288"/>
      <c r="K356" s="43">
        <f t="shared" si="106"/>
        <v>0</v>
      </c>
      <c r="L356" s="43">
        <f t="shared" si="107"/>
        <v>0</v>
      </c>
      <c r="M356" s="217">
        <f t="shared" si="98"/>
        <v>0</v>
      </c>
      <c r="N356" s="171"/>
      <c r="R356" s="288"/>
      <c r="S356" s="288"/>
      <c r="T356" s="217"/>
      <c r="U356" s="288"/>
      <c r="V356" s="288"/>
      <c r="W356" s="203">
        <f t="shared" si="123"/>
        <v>0</v>
      </c>
      <c r="X356" s="203">
        <f t="shared" si="124"/>
        <v>0</v>
      </c>
    </row>
    <row r="357" spans="1:24" s="307" customFormat="1" ht="15" x14ac:dyDescent="0.2">
      <c r="A357" s="746" t="s">
        <v>601</v>
      </c>
      <c r="B357" s="306" t="s">
        <v>644</v>
      </c>
      <c r="C357" s="354" t="s">
        <v>608</v>
      </c>
      <c r="D357" s="354"/>
      <c r="E357" s="450"/>
      <c r="F357" s="450"/>
      <c r="G357" s="591">
        <f t="shared" ref="G357:L357" si="125">G364+G358</f>
        <v>3353.9977499999995</v>
      </c>
      <c r="H357" s="591">
        <f t="shared" si="125"/>
        <v>158.97552999999999</v>
      </c>
      <c r="I357" s="591">
        <f t="shared" si="125"/>
        <v>3188.5517499999996</v>
      </c>
      <c r="J357" s="591">
        <f t="shared" si="125"/>
        <v>158.97552999999999</v>
      </c>
      <c r="K357" s="591">
        <f t="shared" si="125"/>
        <v>-165.44599999999991</v>
      </c>
      <c r="L357" s="591">
        <f t="shared" si="125"/>
        <v>0</v>
      </c>
      <c r="M357" s="217">
        <f t="shared" si="98"/>
        <v>0</v>
      </c>
      <c r="N357" s="292" t="e">
        <f>N364+#REF!</f>
        <v>#REF!</v>
      </c>
      <c r="R357" s="591">
        <f>R364</f>
        <v>3277.3236400000001</v>
      </c>
      <c r="S357" s="591">
        <f>S364</f>
        <v>2120.6764400000002</v>
      </c>
      <c r="T357" s="309">
        <f t="shared" ref="T357:T381" si="126">I357-G357</f>
        <v>-165.44599999999991</v>
      </c>
      <c r="U357" s="498">
        <f>U364</f>
        <v>1318.26667</v>
      </c>
      <c r="V357" s="498">
        <f>V364</f>
        <v>0</v>
      </c>
      <c r="W357" s="310">
        <f t="shared" si="123"/>
        <v>165.44599999999991</v>
      </c>
      <c r="X357" s="310">
        <f t="shared" si="124"/>
        <v>0</v>
      </c>
    </row>
    <row r="358" spans="1:24" s="307" customFormat="1" ht="15" x14ac:dyDescent="0.2">
      <c r="A358" s="746" t="s">
        <v>603</v>
      </c>
      <c r="B358" s="306" t="s">
        <v>644</v>
      </c>
      <c r="C358" s="354" t="s">
        <v>608</v>
      </c>
      <c r="D358" s="690" t="s">
        <v>609</v>
      </c>
      <c r="E358" s="668"/>
      <c r="F358" s="668"/>
      <c r="G358" s="591">
        <f>G359</f>
        <v>172.57438999999999</v>
      </c>
      <c r="H358" s="591">
        <f t="shared" ref="H358:L362" si="127">H359</f>
        <v>158.97552999999999</v>
      </c>
      <c r="I358" s="591">
        <f t="shared" si="127"/>
        <v>172.57438999999999</v>
      </c>
      <c r="J358" s="591">
        <f t="shared" si="127"/>
        <v>158.97552999999999</v>
      </c>
      <c r="K358" s="591">
        <f t="shared" si="127"/>
        <v>0</v>
      </c>
      <c r="L358" s="591">
        <f t="shared" si="127"/>
        <v>0</v>
      </c>
      <c r="M358" s="217"/>
      <c r="N358" s="292"/>
      <c r="R358" s="591"/>
      <c r="S358" s="591"/>
      <c r="T358" s="309"/>
      <c r="U358" s="591"/>
      <c r="V358" s="591"/>
      <c r="W358" s="310"/>
      <c r="X358" s="310"/>
    </row>
    <row r="359" spans="1:24" s="307" customFormat="1" ht="15" x14ac:dyDescent="0.2">
      <c r="A359" s="746" t="s">
        <v>538</v>
      </c>
      <c r="B359" s="306" t="s">
        <v>644</v>
      </c>
      <c r="C359" s="354" t="s">
        <v>608</v>
      </c>
      <c r="D359" s="690" t="s">
        <v>609</v>
      </c>
      <c r="E359" s="668">
        <v>8100000000</v>
      </c>
      <c r="F359" s="668"/>
      <c r="G359" s="591">
        <f>G360</f>
        <v>172.57438999999999</v>
      </c>
      <c r="H359" s="591">
        <f t="shared" si="127"/>
        <v>158.97552999999999</v>
      </c>
      <c r="I359" s="591">
        <f t="shared" si="127"/>
        <v>172.57438999999999</v>
      </c>
      <c r="J359" s="591">
        <f t="shared" si="127"/>
        <v>158.97552999999999</v>
      </c>
      <c r="K359" s="591">
        <f t="shared" si="127"/>
        <v>0</v>
      </c>
      <c r="L359" s="591">
        <f t="shared" si="127"/>
        <v>0</v>
      </c>
      <c r="M359" s="217"/>
      <c r="N359" s="292"/>
      <c r="R359" s="591"/>
      <c r="S359" s="591"/>
      <c r="T359" s="309"/>
      <c r="U359" s="591"/>
      <c r="V359" s="591"/>
      <c r="W359" s="310"/>
      <c r="X359" s="310"/>
    </row>
    <row r="360" spans="1:24" s="307" customFormat="1" ht="15" customHeight="1" x14ac:dyDescent="0.2">
      <c r="A360" s="746" t="s">
        <v>1934</v>
      </c>
      <c r="B360" s="306" t="s">
        <v>644</v>
      </c>
      <c r="C360" s="354" t="s">
        <v>608</v>
      </c>
      <c r="D360" s="690" t="s">
        <v>609</v>
      </c>
      <c r="E360" s="668">
        <v>8130000000</v>
      </c>
      <c r="F360" s="668"/>
      <c r="G360" s="591">
        <f>G361</f>
        <v>172.57438999999999</v>
      </c>
      <c r="H360" s="591">
        <f t="shared" si="127"/>
        <v>158.97552999999999</v>
      </c>
      <c r="I360" s="591">
        <f t="shared" si="127"/>
        <v>172.57438999999999</v>
      </c>
      <c r="J360" s="591">
        <f t="shared" si="127"/>
        <v>158.97552999999999</v>
      </c>
      <c r="K360" s="591">
        <f t="shared" si="127"/>
        <v>0</v>
      </c>
      <c r="L360" s="591">
        <f t="shared" si="127"/>
        <v>0</v>
      </c>
      <c r="M360" s="217"/>
      <c r="N360" s="292"/>
      <c r="R360" s="591"/>
      <c r="S360" s="591"/>
      <c r="T360" s="309"/>
      <c r="U360" s="591"/>
      <c r="V360" s="591"/>
      <c r="W360" s="310"/>
      <c r="X360" s="310"/>
    </row>
    <row r="361" spans="1:24" s="307" customFormat="1" ht="25.5" x14ac:dyDescent="0.2">
      <c r="A361" s="746" t="s">
        <v>1276</v>
      </c>
      <c r="B361" s="306" t="s">
        <v>644</v>
      </c>
      <c r="C361" s="354" t="s">
        <v>608</v>
      </c>
      <c r="D361" s="690" t="s">
        <v>609</v>
      </c>
      <c r="E361" s="668">
        <v>8130200000</v>
      </c>
      <c r="F361" s="668"/>
      <c r="G361" s="591">
        <f>G362</f>
        <v>172.57438999999999</v>
      </c>
      <c r="H361" s="591">
        <f t="shared" si="127"/>
        <v>158.97552999999999</v>
      </c>
      <c r="I361" s="591">
        <f t="shared" si="127"/>
        <v>172.57438999999999</v>
      </c>
      <c r="J361" s="591">
        <f t="shared" si="127"/>
        <v>158.97552999999999</v>
      </c>
      <c r="K361" s="591">
        <f t="shared" si="127"/>
        <v>0</v>
      </c>
      <c r="L361" s="591">
        <f t="shared" si="127"/>
        <v>0</v>
      </c>
      <c r="M361" s="217"/>
      <c r="N361" s="292"/>
      <c r="R361" s="591"/>
      <c r="S361" s="591"/>
      <c r="T361" s="309"/>
      <c r="U361" s="591"/>
      <c r="V361" s="591"/>
      <c r="W361" s="310"/>
      <c r="X361" s="310"/>
    </row>
    <row r="362" spans="1:24" s="307" customFormat="1" ht="25.5" x14ac:dyDescent="0.2">
      <c r="A362" s="746" t="s">
        <v>1924</v>
      </c>
      <c r="B362" s="306" t="s">
        <v>644</v>
      </c>
      <c r="C362" s="354" t="s">
        <v>608</v>
      </c>
      <c r="D362" s="690" t="s">
        <v>609</v>
      </c>
      <c r="E362" s="691" t="s">
        <v>1933</v>
      </c>
      <c r="F362" s="668"/>
      <c r="G362" s="591">
        <f>G363</f>
        <v>172.57438999999999</v>
      </c>
      <c r="H362" s="591">
        <f t="shared" si="127"/>
        <v>158.97552999999999</v>
      </c>
      <c r="I362" s="591">
        <f t="shared" si="127"/>
        <v>172.57438999999999</v>
      </c>
      <c r="J362" s="591">
        <f t="shared" si="127"/>
        <v>158.97552999999999</v>
      </c>
      <c r="K362" s="591">
        <f t="shared" si="127"/>
        <v>0</v>
      </c>
      <c r="L362" s="591">
        <f t="shared" si="127"/>
        <v>0</v>
      </c>
      <c r="M362" s="217"/>
      <c r="N362" s="292"/>
      <c r="R362" s="591"/>
      <c r="S362" s="591"/>
      <c r="T362" s="309"/>
      <c r="U362" s="591"/>
      <c r="V362" s="591"/>
      <c r="W362" s="310"/>
      <c r="X362" s="310"/>
    </row>
    <row r="363" spans="1:24" s="307" customFormat="1" ht="15" x14ac:dyDescent="0.2">
      <c r="A363" s="748" t="s">
        <v>834</v>
      </c>
      <c r="B363" s="692" t="s">
        <v>644</v>
      </c>
      <c r="C363" s="693" t="s">
        <v>608</v>
      </c>
      <c r="D363" s="694" t="s">
        <v>609</v>
      </c>
      <c r="E363" s="695" t="s">
        <v>1933</v>
      </c>
      <c r="F363" s="695">
        <v>244</v>
      </c>
      <c r="G363" s="696">
        <v>172.57438999999999</v>
      </c>
      <c r="H363" s="696">
        <v>158.97552999999999</v>
      </c>
      <c r="I363" s="696">
        <v>172.57438999999999</v>
      </c>
      <c r="J363" s="696">
        <v>158.97552999999999</v>
      </c>
      <c r="K363" s="43">
        <f>I363-G363</f>
        <v>0</v>
      </c>
      <c r="L363" s="43">
        <f>J363-H363</f>
        <v>0</v>
      </c>
      <c r="M363" s="217"/>
      <c r="N363" s="292"/>
      <c r="R363" s="591"/>
      <c r="S363" s="591"/>
      <c r="T363" s="309"/>
      <c r="U363" s="591"/>
      <c r="V363" s="591"/>
      <c r="W363" s="310"/>
      <c r="X363" s="310"/>
    </row>
    <row r="364" spans="1:24" s="307" customFormat="1" ht="15" x14ac:dyDescent="0.2">
      <c r="A364" s="746" t="s">
        <v>282</v>
      </c>
      <c r="B364" s="306" t="s">
        <v>644</v>
      </c>
      <c r="C364" s="354" t="s">
        <v>608</v>
      </c>
      <c r="D364" s="354" t="s">
        <v>619</v>
      </c>
      <c r="E364" s="450"/>
      <c r="F364" s="450"/>
      <c r="G364" s="591">
        <f>G370+G381+G466+G448+G365</f>
        <v>3181.4233599999998</v>
      </c>
      <c r="H364" s="591">
        <f>H370+H381+H466+H448+H365</f>
        <v>0</v>
      </c>
      <c r="I364" s="591">
        <f>I370+I381+I466+I448+I365</f>
        <v>3015.9773599999999</v>
      </c>
      <c r="J364" s="591">
        <f>J370+J381+J466+J448+J365</f>
        <v>0</v>
      </c>
      <c r="K364" s="591">
        <f t="shared" si="106"/>
        <v>-165.44599999999991</v>
      </c>
      <c r="L364" s="591">
        <f t="shared" si="107"/>
        <v>0</v>
      </c>
      <c r="M364" s="217">
        <f t="shared" si="98"/>
        <v>0</v>
      </c>
      <c r="N364" s="292" t="e">
        <f>N370+N381+#REF!+N466</f>
        <v>#REF!</v>
      </c>
      <c r="R364" s="591">
        <f>R370+R381+R466+R448+R365</f>
        <v>3277.3236400000001</v>
      </c>
      <c r="S364" s="591">
        <f>S370+S381+S466+S448+S365</f>
        <v>2120.6764400000002</v>
      </c>
      <c r="T364" s="309">
        <f t="shared" si="126"/>
        <v>-165.44599999999991</v>
      </c>
      <c r="U364" s="498">
        <f>U370+U381+U466+U448+U365</f>
        <v>1318.26667</v>
      </c>
      <c r="V364" s="498">
        <f>V370+V381+V466+V448+V365</f>
        <v>0</v>
      </c>
      <c r="W364" s="310">
        <f t="shared" si="123"/>
        <v>165.44599999999991</v>
      </c>
      <c r="X364" s="310">
        <f t="shared" si="124"/>
        <v>0</v>
      </c>
    </row>
    <row r="365" spans="1:24" s="307" customFormat="1" ht="25.5" hidden="1" x14ac:dyDescent="0.2">
      <c r="A365" s="451" t="s">
        <v>679</v>
      </c>
      <c r="B365" s="306" t="s">
        <v>644</v>
      </c>
      <c r="C365" s="354" t="s">
        <v>608</v>
      </c>
      <c r="D365" s="354" t="s">
        <v>619</v>
      </c>
      <c r="E365" s="450" t="s">
        <v>676</v>
      </c>
      <c r="F365" s="450"/>
      <c r="G365" s="498">
        <f>G366</f>
        <v>0</v>
      </c>
      <c r="H365" s="498">
        <f>H366</f>
        <v>0</v>
      </c>
      <c r="I365" s="591">
        <f>I366</f>
        <v>0</v>
      </c>
      <c r="J365" s="591">
        <f>J366</f>
        <v>0</v>
      </c>
      <c r="K365" s="591">
        <f t="shared" si="106"/>
        <v>0</v>
      </c>
      <c r="L365" s="591">
        <f t="shared" si="107"/>
        <v>0</v>
      </c>
      <c r="M365" s="217">
        <f t="shared" si="98"/>
        <v>0</v>
      </c>
      <c r="N365" s="292"/>
      <c r="R365" s="591">
        <f>R366</f>
        <v>604.67534999999998</v>
      </c>
      <c r="S365" s="591">
        <f>S366</f>
        <v>545.65899999999999</v>
      </c>
      <c r="T365" s="309">
        <f t="shared" si="126"/>
        <v>0</v>
      </c>
      <c r="U365" s="498">
        <f>U366</f>
        <v>0</v>
      </c>
      <c r="V365" s="498">
        <f>V366</f>
        <v>0</v>
      </c>
      <c r="W365" s="310">
        <f t="shared" si="123"/>
        <v>0</v>
      </c>
      <c r="X365" s="310">
        <f t="shared" si="124"/>
        <v>0</v>
      </c>
    </row>
    <row r="366" spans="1:24" s="307" customFormat="1" ht="25.5" hidden="1" x14ac:dyDescent="0.2">
      <c r="A366" s="118" t="s">
        <v>1486</v>
      </c>
      <c r="B366" s="67" t="s">
        <v>644</v>
      </c>
      <c r="C366" s="347" t="s">
        <v>608</v>
      </c>
      <c r="D366" s="347" t="s">
        <v>619</v>
      </c>
      <c r="E366" s="374">
        <v>7400100000</v>
      </c>
      <c r="F366" s="571"/>
      <c r="G366" s="498">
        <f>G370+G367</f>
        <v>0</v>
      </c>
      <c r="H366" s="498">
        <f>H370+H367</f>
        <v>0</v>
      </c>
      <c r="I366" s="591">
        <f>I370+I367</f>
        <v>0</v>
      </c>
      <c r="J366" s="591">
        <f>J370+J367</f>
        <v>0</v>
      </c>
      <c r="K366" s="591">
        <f t="shared" si="106"/>
        <v>0</v>
      </c>
      <c r="L366" s="591">
        <f t="shared" si="107"/>
        <v>0</v>
      </c>
      <c r="M366" s="217">
        <f t="shared" si="98"/>
        <v>0</v>
      </c>
      <c r="N366" s="292"/>
      <c r="R366" s="591">
        <f>R370+R367</f>
        <v>604.67534999999998</v>
      </c>
      <c r="S366" s="591">
        <f>S370+S367</f>
        <v>545.65899999999999</v>
      </c>
      <c r="T366" s="309">
        <f t="shared" si="126"/>
        <v>0</v>
      </c>
      <c r="U366" s="498">
        <f>U370+U367</f>
        <v>0</v>
      </c>
      <c r="V366" s="498">
        <f>V370+V367</f>
        <v>0</v>
      </c>
      <c r="W366" s="310">
        <f t="shared" si="123"/>
        <v>0</v>
      </c>
      <c r="X366" s="310">
        <f t="shared" si="124"/>
        <v>0</v>
      </c>
    </row>
    <row r="367" spans="1:24" s="307" customFormat="1" ht="114.75" hidden="1" customHeight="1" x14ac:dyDescent="0.2">
      <c r="A367" s="635" t="s">
        <v>1799</v>
      </c>
      <c r="B367" s="67" t="s">
        <v>644</v>
      </c>
      <c r="C367" s="347" t="s">
        <v>608</v>
      </c>
      <c r="D367" s="347" t="s">
        <v>619</v>
      </c>
      <c r="E367" s="374" t="s">
        <v>1798</v>
      </c>
      <c r="F367" s="571"/>
      <c r="G367" s="498">
        <f>G368+G369</f>
        <v>0</v>
      </c>
      <c r="H367" s="591">
        <f>H368+H369</f>
        <v>0</v>
      </c>
      <c r="I367" s="591">
        <f>I368+I369</f>
        <v>0</v>
      </c>
      <c r="J367" s="591">
        <f>J368+J369</f>
        <v>0</v>
      </c>
      <c r="K367" s="591">
        <f t="shared" si="106"/>
        <v>0</v>
      </c>
      <c r="L367" s="591">
        <f t="shared" si="107"/>
        <v>0</v>
      </c>
      <c r="M367" s="217">
        <f t="shared" si="98"/>
        <v>0</v>
      </c>
      <c r="N367" s="292"/>
      <c r="R367" s="591">
        <f>R368+R369</f>
        <v>604.67534999999998</v>
      </c>
      <c r="S367" s="591">
        <f>S368+S369</f>
        <v>545.65899999999999</v>
      </c>
      <c r="T367" s="309">
        <f t="shared" si="126"/>
        <v>0</v>
      </c>
      <c r="U367" s="498">
        <f>U368</f>
        <v>0</v>
      </c>
      <c r="V367" s="498">
        <f>V368</f>
        <v>0</v>
      </c>
      <c r="W367" s="310">
        <f t="shared" si="123"/>
        <v>0</v>
      </c>
      <c r="X367" s="310">
        <f t="shared" si="124"/>
        <v>0</v>
      </c>
    </row>
    <row r="368" spans="1:24" ht="15" hidden="1" x14ac:dyDescent="0.2">
      <c r="A368" s="124" t="s">
        <v>834</v>
      </c>
      <c r="B368" s="68" t="s">
        <v>644</v>
      </c>
      <c r="C368" s="352" t="s">
        <v>608</v>
      </c>
      <c r="D368" s="352" t="s">
        <v>619</v>
      </c>
      <c r="E368" s="380" t="s">
        <v>1798</v>
      </c>
      <c r="F368" s="242">
        <v>244</v>
      </c>
      <c r="G368" s="43">
        <v>0</v>
      </c>
      <c r="H368" s="43">
        <v>0</v>
      </c>
      <c r="I368" s="43">
        <v>0</v>
      </c>
      <c r="J368" s="43">
        <v>0</v>
      </c>
      <c r="K368" s="43">
        <f t="shared" si="106"/>
        <v>0</v>
      </c>
      <c r="L368" s="43">
        <f t="shared" si="107"/>
        <v>0</v>
      </c>
      <c r="M368" s="217">
        <f t="shared" si="98"/>
        <v>0</v>
      </c>
      <c r="N368" s="42"/>
      <c r="R368" s="43">
        <v>0</v>
      </c>
      <c r="S368" s="43">
        <v>0</v>
      </c>
      <c r="T368" s="217">
        <f t="shared" si="126"/>
        <v>0</v>
      </c>
      <c r="U368" s="288">
        <v>0</v>
      </c>
      <c r="V368" s="288"/>
      <c r="W368" s="203">
        <f t="shared" si="123"/>
        <v>0</v>
      </c>
      <c r="X368" s="203">
        <f t="shared" si="124"/>
        <v>0</v>
      </c>
    </row>
    <row r="369" spans="1:24" ht="15" hidden="1" x14ac:dyDescent="0.2">
      <c r="A369" s="186" t="s">
        <v>164</v>
      </c>
      <c r="B369" s="68" t="s">
        <v>644</v>
      </c>
      <c r="C369" s="352" t="s">
        <v>608</v>
      </c>
      <c r="D369" s="352" t="s">
        <v>619</v>
      </c>
      <c r="E369" s="380" t="s">
        <v>1798</v>
      </c>
      <c r="F369" s="242">
        <v>540</v>
      </c>
      <c r="G369" s="43"/>
      <c r="H369" s="653"/>
      <c r="I369" s="43"/>
      <c r="J369" s="653"/>
      <c r="K369" s="43">
        <f t="shared" ref="K369:K435" si="128">I369-G369</f>
        <v>0</v>
      </c>
      <c r="L369" s="43">
        <f t="shared" ref="L369:L435" si="129">J369-H369</f>
        <v>0</v>
      </c>
      <c r="M369" s="217"/>
      <c r="N369" s="42"/>
      <c r="R369" s="43">
        <v>604.67534999999998</v>
      </c>
      <c r="S369" s="43">
        <v>545.65899999999999</v>
      </c>
      <c r="T369" s="217"/>
      <c r="U369" s="288"/>
      <c r="V369" s="288"/>
      <c r="W369" s="203"/>
      <c r="X369" s="203"/>
    </row>
    <row r="370" spans="1:24" s="307" customFormat="1" ht="26.25" hidden="1" customHeight="1" x14ac:dyDescent="0.2">
      <c r="A370" s="451" t="s">
        <v>356</v>
      </c>
      <c r="B370" s="306" t="s">
        <v>644</v>
      </c>
      <c r="C370" s="354" t="s">
        <v>608</v>
      </c>
      <c r="D370" s="354" t="s">
        <v>619</v>
      </c>
      <c r="E370" s="450" t="s">
        <v>362</v>
      </c>
      <c r="F370" s="450"/>
      <c r="G370" s="498">
        <f>G371+G376</f>
        <v>0</v>
      </c>
      <c r="H370" s="498">
        <f>H371+H376</f>
        <v>0</v>
      </c>
      <c r="I370" s="591">
        <f>I371+I376</f>
        <v>0</v>
      </c>
      <c r="J370" s="591">
        <f>J371+J376</f>
        <v>0</v>
      </c>
      <c r="K370" s="591">
        <f t="shared" si="128"/>
        <v>0</v>
      </c>
      <c r="L370" s="591">
        <f t="shared" si="129"/>
        <v>0</v>
      </c>
      <c r="M370" s="217">
        <f t="shared" ref="M370:M446" si="130">I370-G370-K370</f>
        <v>0</v>
      </c>
      <c r="N370" s="308">
        <f>N371+N376</f>
        <v>398.79999999999995</v>
      </c>
      <c r="R370" s="591">
        <f>R371+R376</f>
        <v>0</v>
      </c>
      <c r="S370" s="591">
        <f>S371+S376</f>
        <v>0</v>
      </c>
      <c r="T370" s="309">
        <f t="shared" si="126"/>
        <v>0</v>
      </c>
      <c r="U370" s="498">
        <f>U371+U376</f>
        <v>0</v>
      </c>
      <c r="V370" s="498">
        <f>V371+V376</f>
        <v>0</v>
      </c>
      <c r="W370" s="310">
        <f t="shared" si="123"/>
        <v>0</v>
      </c>
      <c r="X370" s="310">
        <f t="shared" si="124"/>
        <v>0</v>
      </c>
    </row>
    <row r="371" spans="1:24" s="307" customFormat="1" ht="12" hidden="1" customHeight="1" x14ac:dyDescent="0.2">
      <c r="A371" s="451" t="s">
        <v>364</v>
      </c>
      <c r="B371" s="306" t="s">
        <v>644</v>
      </c>
      <c r="C371" s="354" t="s">
        <v>608</v>
      </c>
      <c r="D371" s="354" t="s">
        <v>619</v>
      </c>
      <c r="E371" s="450" t="s">
        <v>363</v>
      </c>
      <c r="F371" s="450"/>
      <c r="G371" s="498">
        <f>G372+G374</f>
        <v>0</v>
      </c>
      <c r="H371" s="498">
        <f>H372+H374</f>
        <v>0</v>
      </c>
      <c r="I371" s="591">
        <f>I372+I374</f>
        <v>0</v>
      </c>
      <c r="J371" s="591">
        <f>J372+J374</f>
        <v>0</v>
      </c>
      <c r="K371" s="591">
        <f t="shared" si="128"/>
        <v>0</v>
      </c>
      <c r="L371" s="591">
        <f t="shared" si="129"/>
        <v>0</v>
      </c>
      <c r="M371" s="217">
        <f t="shared" si="130"/>
        <v>0</v>
      </c>
      <c r="N371" s="308">
        <f>N372+N374</f>
        <v>54</v>
      </c>
      <c r="R371" s="591">
        <f>R372+R374</f>
        <v>0</v>
      </c>
      <c r="S371" s="591">
        <f>S372+S374</f>
        <v>0</v>
      </c>
      <c r="T371" s="309">
        <f t="shared" si="126"/>
        <v>0</v>
      </c>
      <c r="U371" s="498">
        <f>U372+U374</f>
        <v>0</v>
      </c>
      <c r="V371" s="498">
        <f>V372+V374</f>
        <v>0</v>
      </c>
      <c r="W371" s="310">
        <f t="shared" si="123"/>
        <v>0</v>
      </c>
      <c r="X371" s="310">
        <f t="shared" si="124"/>
        <v>0</v>
      </c>
    </row>
    <row r="372" spans="1:24" s="307" customFormat="1" ht="12" hidden="1" customHeight="1" x14ac:dyDescent="0.2">
      <c r="A372" s="451" t="s">
        <v>66</v>
      </c>
      <c r="B372" s="306" t="s">
        <v>644</v>
      </c>
      <c r="C372" s="354" t="s">
        <v>608</v>
      </c>
      <c r="D372" s="354" t="s">
        <v>619</v>
      </c>
      <c r="E372" s="450" t="s">
        <v>789</v>
      </c>
      <c r="F372" s="450"/>
      <c r="G372" s="498">
        <f>G373</f>
        <v>0</v>
      </c>
      <c r="H372" s="498">
        <f>H373</f>
        <v>0</v>
      </c>
      <c r="I372" s="591">
        <f>I373</f>
        <v>0</v>
      </c>
      <c r="J372" s="591">
        <f>J373</f>
        <v>0</v>
      </c>
      <c r="K372" s="591">
        <f t="shared" si="128"/>
        <v>0</v>
      </c>
      <c r="L372" s="591">
        <f t="shared" si="129"/>
        <v>0</v>
      </c>
      <c r="M372" s="217">
        <f t="shared" si="130"/>
        <v>0</v>
      </c>
      <c r="N372" s="308">
        <f>N373</f>
        <v>54</v>
      </c>
      <c r="R372" s="591">
        <f>R373</f>
        <v>0</v>
      </c>
      <c r="S372" s="591">
        <f>S373</f>
        <v>0</v>
      </c>
      <c r="T372" s="309">
        <f t="shared" si="126"/>
        <v>0</v>
      </c>
      <c r="U372" s="498">
        <f>U373</f>
        <v>0</v>
      </c>
      <c r="V372" s="498">
        <f>V373</f>
        <v>0</v>
      </c>
      <c r="W372" s="310">
        <f t="shared" si="123"/>
        <v>0</v>
      </c>
      <c r="X372" s="310">
        <f t="shared" si="124"/>
        <v>0</v>
      </c>
    </row>
    <row r="373" spans="1:24" ht="12" hidden="1" customHeight="1" x14ac:dyDescent="0.2">
      <c r="A373" s="124" t="s">
        <v>834</v>
      </c>
      <c r="B373" s="243" t="s">
        <v>644</v>
      </c>
      <c r="C373" s="353" t="s">
        <v>608</v>
      </c>
      <c r="D373" s="353" t="s">
        <v>619</v>
      </c>
      <c r="E373" s="369" t="s">
        <v>789</v>
      </c>
      <c r="F373" s="369" t="s">
        <v>634</v>
      </c>
      <c r="G373" s="288"/>
      <c r="H373" s="288"/>
      <c r="I373" s="288"/>
      <c r="J373" s="288"/>
      <c r="K373" s="43">
        <f t="shared" si="128"/>
        <v>0</v>
      </c>
      <c r="L373" s="43">
        <f t="shared" si="129"/>
        <v>0</v>
      </c>
      <c r="M373" s="217">
        <f t="shared" si="130"/>
        <v>0</v>
      </c>
      <c r="N373" s="171">
        <v>54</v>
      </c>
      <c r="R373" s="288"/>
      <c r="S373" s="288"/>
      <c r="T373" s="217">
        <f t="shared" si="126"/>
        <v>0</v>
      </c>
      <c r="U373" s="288"/>
      <c r="V373" s="288"/>
      <c r="W373" s="203">
        <f t="shared" si="123"/>
        <v>0</v>
      </c>
      <c r="X373" s="203">
        <f t="shared" si="124"/>
        <v>0</v>
      </c>
    </row>
    <row r="374" spans="1:24" s="307" customFormat="1" ht="27" hidden="1" customHeight="1" x14ac:dyDescent="0.2">
      <c r="A374" s="451" t="s">
        <v>546</v>
      </c>
      <c r="B374" s="306" t="s">
        <v>644</v>
      </c>
      <c r="C374" s="354" t="s">
        <v>608</v>
      </c>
      <c r="D374" s="354" t="s">
        <v>619</v>
      </c>
      <c r="E374" s="450" t="s">
        <v>547</v>
      </c>
      <c r="F374" s="450"/>
      <c r="G374" s="498">
        <f>G375</f>
        <v>0</v>
      </c>
      <c r="H374" s="498">
        <f>H375</f>
        <v>0</v>
      </c>
      <c r="I374" s="591">
        <f>I375</f>
        <v>0</v>
      </c>
      <c r="J374" s="591">
        <f>J375</f>
        <v>0</v>
      </c>
      <c r="K374" s="591">
        <f t="shared" si="128"/>
        <v>0</v>
      </c>
      <c r="L374" s="591">
        <f t="shared" si="129"/>
        <v>0</v>
      </c>
      <c r="M374" s="217">
        <f t="shared" si="130"/>
        <v>0</v>
      </c>
      <c r="N374" s="308">
        <f>N375</f>
        <v>0</v>
      </c>
      <c r="R374" s="591">
        <f>R375</f>
        <v>0</v>
      </c>
      <c r="S374" s="591">
        <f>S375</f>
        <v>0</v>
      </c>
      <c r="T374" s="309">
        <f t="shared" si="126"/>
        <v>0</v>
      </c>
      <c r="U374" s="498">
        <f>U375</f>
        <v>0</v>
      </c>
      <c r="V374" s="498">
        <f>V375</f>
        <v>0</v>
      </c>
      <c r="W374" s="310">
        <f t="shared" si="123"/>
        <v>0</v>
      </c>
      <c r="X374" s="310">
        <f t="shared" si="124"/>
        <v>0</v>
      </c>
    </row>
    <row r="375" spans="1:24" ht="12" hidden="1" customHeight="1" x14ac:dyDescent="0.2">
      <c r="A375" s="124" t="s">
        <v>834</v>
      </c>
      <c r="B375" s="243" t="s">
        <v>644</v>
      </c>
      <c r="C375" s="353" t="s">
        <v>608</v>
      </c>
      <c r="D375" s="353" t="s">
        <v>619</v>
      </c>
      <c r="E375" s="369" t="s">
        <v>547</v>
      </c>
      <c r="F375" s="369" t="s">
        <v>634</v>
      </c>
      <c r="G375" s="288">
        <v>0</v>
      </c>
      <c r="H375" s="288"/>
      <c r="I375" s="288">
        <v>0</v>
      </c>
      <c r="J375" s="288"/>
      <c r="K375" s="43">
        <f t="shared" si="128"/>
        <v>0</v>
      </c>
      <c r="L375" s="43">
        <f t="shared" si="129"/>
        <v>0</v>
      </c>
      <c r="M375" s="217">
        <f t="shared" si="130"/>
        <v>0</v>
      </c>
      <c r="N375" s="171">
        <v>0</v>
      </c>
      <c r="R375" s="288">
        <v>0</v>
      </c>
      <c r="S375" s="288"/>
      <c r="T375" s="217">
        <f t="shared" si="126"/>
        <v>0</v>
      </c>
      <c r="U375" s="288">
        <v>0</v>
      </c>
      <c r="V375" s="288"/>
      <c r="W375" s="203">
        <f t="shared" si="123"/>
        <v>0</v>
      </c>
      <c r="X375" s="203">
        <f t="shared" si="124"/>
        <v>0</v>
      </c>
    </row>
    <row r="376" spans="1:24" s="307" customFormat="1" ht="27" hidden="1" customHeight="1" x14ac:dyDescent="0.2">
      <c r="A376" s="451" t="s">
        <v>521</v>
      </c>
      <c r="B376" s="306" t="s">
        <v>644</v>
      </c>
      <c r="C376" s="354" t="s">
        <v>608</v>
      </c>
      <c r="D376" s="354" t="s">
        <v>619</v>
      </c>
      <c r="E376" s="450" t="s">
        <v>517</v>
      </c>
      <c r="F376" s="450"/>
      <c r="G376" s="498">
        <f>G377+G379</f>
        <v>0</v>
      </c>
      <c r="H376" s="498">
        <f>H377+H379</f>
        <v>0</v>
      </c>
      <c r="I376" s="591">
        <f>I377+I379</f>
        <v>0</v>
      </c>
      <c r="J376" s="591">
        <f>J377+J379</f>
        <v>0</v>
      </c>
      <c r="K376" s="591">
        <f t="shared" si="128"/>
        <v>0</v>
      </c>
      <c r="L376" s="591">
        <f t="shared" si="129"/>
        <v>0</v>
      </c>
      <c r="M376" s="217">
        <f t="shared" si="130"/>
        <v>0</v>
      </c>
      <c r="N376" s="308">
        <f>N377+N379</f>
        <v>344.79999999999995</v>
      </c>
      <c r="R376" s="591">
        <f>R377+R379</f>
        <v>0</v>
      </c>
      <c r="S376" s="591">
        <f>S377+S379</f>
        <v>0</v>
      </c>
      <c r="T376" s="309">
        <f t="shared" si="126"/>
        <v>0</v>
      </c>
      <c r="U376" s="498">
        <f>U377+U379</f>
        <v>0</v>
      </c>
      <c r="V376" s="498">
        <f>V377+V379</f>
        <v>0</v>
      </c>
      <c r="W376" s="310">
        <f t="shared" si="123"/>
        <v>0</v>
      </c>
      <c r="X376" s="310">
        <f t="shared" si="124"/>
        <v>0</v>
      </c>
    </row>
    <row r="377" spans="1:24" s="307" customFormat="1" ht="39.75" hidden="1" customHeight="1" x14ac:dyDescent="0.2">
      <c r="A377" s="451" t="s">
        <v>548</v>
      </c>
      <c r="B377" s="306" t="s">
        <v>644</v>
      </c>
      <c r="C377" s="354" t="s">
        <v>608</v>
      </c>
      <c r="D377" s="354" t="s">
        <v>619</v>
      </c>
      <c r="E377" s="450" t="s">
        <v>549</v>
      </c>
      <c r="F377" s="450"/>
      <c r="G377" s="498">
        <f>G378</f>
        <v>0</v>
      </c>
      <c r="H377" s="498">
        <f>H378</f>
        <v>0</v>
      </c>
      <c r="I377" s="591">
        <f>I378</f>
        <v>0</v>
      </c>
      <c r="J377" s="591">
        <f>J378</f>
        <v>0</v>
      </c>
      <c r="K377" s="591">
        <f t="shared" si="128"/>
        <v>0</v>
      </c>
      <c r="L377" s="591">
        <f t="shared" si="129"/>
        <v>0</v>
      </c>
      <c r="M377" s="217">
        <f t="shared" si="130"/>
        <v>0</v>
      </c>
      <c r="N377" s="292">
        <f>N378</f>
        <v>328.4</v>
      </c>
      <c r="R377" s="591">
        <f>R378</f>
        <v>0</v>
      </c>
      <c r="S377" s="591">
        <f>S378</f>
        <v>0</v>
      </c>
      <c r="T377" s="309">
        <f t="shared" si="126"/>
        <v>0</v>
      </c>
      <c r="U377" s="498">
        <f>U378</f>
        <v>0</v>
      </c>
      <c r="V377" s="498">
        <f>V378</f>
        <v>0</v>
      </c>
      <c r="W377" s="310">
        <f t="shared" si="123"/>
        <v>0</v>
      </c>
      <c r="X377" s="310">
        <f t="shared" si="124"/>
        <v>0</v>
      </c>
    </row>
    <row r="378" spans="1:24" ht="12" hidden="1" customHeight="1" x14ac:dyDescent="0.2">
      <c r="A378" s="124" t="s">
        <v>834</v>
      </c>
      <c r="B378" s="243" t="s">
        <v>644</v>
      </c>
      <c r="C378" s="353" t="s">
        <v>608</v>
      </c>
      <c r="D378" s="353" t="s">
        <v>619</v>
      </c>
      <c r="E378" s="369" t="s">
        <v>549</v>
      </c>
      <c r="F378" s="369" t="s">
        <v>634</v>
      </c>
      <c r="G378" s="288">
        <v>0</v>
      </c>
      <c r="H378" s="288"/>
      <c r="I378" s="288">
        <v>0</v>
      </c>
      <c r="J378" s="288"/>
      <c r="K378" s="43">
        <f t="shared" si="128"/>
        <v>0</v>
      </c>
      <c r="L378" s="43">
        <f t="shared" si="129"/>
        <v>0</v>
      </c>
      <c r="M378" s="217">
        <f t="shared" si="130"/>
        <v>0</v>
      </c>
      <c r="N378" s="43">
        <v>328.4</v>
      </c>
      <c r="R378" s="288">
        <v>0</v>
      </c>
      <c r="S378" s="288"/>
      <c r="T378" s="217">
        <f t="shared" si="126"/>
        <v>0</v>
      </c>
      <c r="U378" s="288">
        <v>0</v>
      </c>
      <c r="V378" s="288"/>
      <c r="W378" s="203">
        <f t="shared" si="123"/>
        <v>0</v>
      </c>
      <c r="X378" s="203">
        <f t="shared" si="124"/>
        <v>0</v>
      </c>
    </row>
    <row r="379" spans="1:24" s="307" customFormat="1" ht="27.75" hidden="1" customHeight="1" x14ac:dyDescent="0.2">
      <c r="A379" s="451" t="s">
        <v>550</v>
      </c>
      <c r="B379" s="306" t="s">
        <v>644</v>
      </c>
      <c r="C379" s="354" t="s">
        <v>608</v>
      </c>
      <c r="D379" s="354" t="s">
        <v>619</v>
      </c>
      <c r="E379" s="450" t="s">
        <v>551</v>
      </c>
      <c r="F379" s="450"/>
      <c r="G379" s="498">
        <f>G380</f>
        <v>0</v>
      </c>
      <c r="H379" s="498">
        <f>H380</f>
        <v>0</v>
      </c>
      <c r="I379" s="591">
        <f>I380</f>
        <v>0</v>
      </c>
      <c r="J379" s="591">
        <f>J380</f>
        <v>0</v>
      </c>
      <c r="K379" s="591">
        <f t="shared" si="128"/>
        <v>0</v>
      </c>
      <c r="L379" s="591">
        <f t="shared" si="129"/>
        <v>0</v>
      </c>
      <c r="M379" s="217">
        <f t="shared" si="130"/>
        <v>0</v>
      </c>
      <c r="N379" s="292">
        <f>N380</f>
        <v>16.399999999999999</v>
      </c>
      <c r="R379" s="591">
        <f>R380</f>
        <v>0</v>
      </c>
      <c r="S379" s="591">
        <f>S380</f>
        <v>0</v>
      </c>
      <c r="T379" s="309">
        <f t="shared" si="126"/>
        <v>0</v>
      </c>
      <c r="U379" s="498">
        <f>U380</f>
        <v>0</v>
      </c>
      <c r="V379" s="498">
        <f>V380</f>
        <v>0</v>
      </c>
      <c r="W379" s="310">
        <f t="shared" si="123"/>
        <v>0</v>
      </c>
      <c r="X379" s="310">
        <f t="shared" si="124"/>
        <v>0</v>
      </c>
    </row>
    <row r="380" spans="1:24" ht="24" hidden="1" customHeight="1" x14ac:dyDescent="0.2">
      <c r="A380" s="124" t="s">
        <v>834</v>
      </c>
      <c r="B380" s="243" t="s">
        <v>644</v>
      </c>
      <c r="C380" s="353" t="s">
        <v>608</v>
      </c>
      <c r="D380" s="353" t="s">
        <v>619</v>
      </c>
      <c r="E380" s="369" t="s">
        <v>551</v>
      </c>
      <c r="F380" s="369" t="s">
        <v>634</v>
      </c>
      <c r="G380" s="288">
        <v>0</v>
      </c>
      <c r="H380" s="288"/>
      <c r="I380" s="288">
        <v>0</v>
      </c>
      <c r="J380" s="288"/>
      <c r="K380" s="43">
        <f t="shared" si="128"/>
        <v>0</v>
      </c>
      <c r="L380" s="43">
        <f t="shared" si="129"/>
        <v>0</v>
      </c>
      <c r="M380" s="217">
        <f t="shared" si="130"/>
        <v>0</v>
      </c>
      <c r="N380" s="43">
        <v>16.399999999999999</v>
      </c>
      <c r="R380" s="288">
        <v>0</v>
      </c>
      <c r="S380" s="288"/>
      <c r="T380" s="217">
        <f t="shared" si="126"/>
        <v>0</v>
      </c>
      <c r="U380" s="288">
        <v>0</v>
      </c>
      <c r="V380" s="288"/>
      <c r="W380" s="203">
        <f t="shared" si="123"/>
        <v>0</v>
      </c>
      <c r="X380" s="203">
        <f t="shared" si="124"/>
        <v>0</v>
      </c>
    </row>
    <row r="381" spans="1:24" s="307" customFormat="1" ht="15" x14ac:dyDescent="0.2">
      <c r="A381" s="747" t="s">
        <v>538</v>
      </c>
      <c r="B381" s="306" t="s">
        <v>644</v>
      </c>
      <c r="C381" s="354" t="s">
        <v>608</v>
      </c>
      <c r="D381" s="354" t="s">
        <v>619</v>
      </c>
      <c r="E381" s="450" t="s">
        <v>539</v>
      </c>
      <c r="F381" s="450"/>
      <c r="G381" s="591">
        <f>G382+G395+G426+G443</f>
        <v>3181.4233599999998</v>
      </c>
      <c r="H381" s="591">
        <f>H382+H395+H426+H443</f>
        <v>0</v>
      </c>
      <c r="I381" s="591">
        <f>I382+I395+I426+I443</f>
        <v>3015.9773599999999</v>
      </c>
      <c r="J381" s="591">
        <f>J382+J395+J426+J443</f>
        <v>0</v>
      </c>
      <c r="K381" s="591">
        <f t="shared" si="128"/>
        <v>-165.44599999999991</v>
      </c>
      <c r="L381" s="591">
        <f t="shared" si="129"/>
        <v>0</v>
      </c>
      <c r="M381" s="217">
        <f t="shared" si="130"/>
        <v>0</v>
      </c>
      <c r="N381" s="292">
        <f>N426</f>
        <v>70</v>
      </c>
      <c r="R381" s="591">
        <f>R382+R395+R426+R443</f>
        <v>2672.6482900000001</v>
      </c>
      <c r="S381" s="591">
        <f>S382+S395+S426+S443</f>
        <v>1575.0174400000001</v>
      </c>
      <c r="T381" s="309">
        <f t="shared" si="126"/>
        <v>-165.44599999999991</v>
      </c>
      <c r="U381" s="498">
        <f>U382+U395+U426+U443</f>
        <v>1318.26667</v>
      </c>
      <c r="V381" s="498">
        <f>V382+V395+V426+V443</f>
        <v>0</v>
      </c>
      <c r="W381" s="310">
        <f t="shared" si="123"/>
        <v>165.44599999999991</v>
      </c>
      <c r="X381" s="310">
        <f t="shared" si="124"/>
        <v>0</v>
      </c>
    </row>
    <row r="382" spans="1:24" s="307" customFormat="1" ht="17.25" customHeight="1" x14ac:dyDescent="0.2">
      <c r="A382" s="746" t="s">
        <v>945</v>
      </c>
      <c r="B382" s="306" t="s">
        <v>644</v>
      </c>
      <c r="C382" s="354" t="s">
        <v>608</v>
      </c>
      <c r="D382" s="354" t="s">
        <v>619</v>
      </c>
      <c r="E382" s="450" t="s">
        <v>944</v>
      </c>
      <c r="F382" s="450"/>
      <c r="G382" s="591">
        <f>G392+G389+G386+G383</f>
        <v>135</v>
      </c>
      <c r="H382" s="591">
        <f>H392+H389+H386+H383</f>
        <v>0</v>
      </c>
      <c r="I382" s="591">
        <f>I392+I389+I386+I383</f>
        <v>82.2</v>
      </c>
      <c r="J382" s="591">
        <f>J392+J389+J386+J383</f>
        <v>0</v>
      </c>
      <c r="K382" s="591">
        <f t="shared" si="128"/>
        <v>-52.8</v>
      </c>
      <c r="L382" s="591">
        <f t="shared" si="129"/>
        <v>0</v>
      </c>
      <c r="M382" s="217">
        <f t="shared" si="130"/>
        <v>0</v>
      </c>
      <c r="N382" s="292"/>
      <c r="R382" s="591">
        <f>R392+R389+R386+R383</f>
        <v>146.9</v>
      </c>
      <c r="S382" s="591">
        <f>S392+S389+S386+S383</f>
        <v>0</v>
      </c>
      <c r="T382" s="309"/>
      <c r="U382" s="498">
        <f>U392+U389+U386+U383</f>
        <v>119</v>
      </c>
      <c r="V382" s="498">
        <f>V392+V389+V386+V383</f>
        <v>0</v>
      </c>
      <c r="W382" s="310">
        <f t="shared" si="123"/>
        <v>52.8</v>
      </c>
      <c r="X382" s="310">
        <f t="shared" si="124"/>
        <v>0</v>
      </c>
    </row>
    <row r="383" spans="1:24" s="307" customFormat="1" ht="15" x14ac:dyDescent="0.2">
      <c r="A383" s="746" t="s">
        <v>1122</v>
      </c>
      <c r="B383" s="306" t="s">
        <v>644</v>
      </c>
      <c r="C383" s="354" t="s">
        <v>608</v>
      </c>
      <c r="D383" s="354" t="s">
        <v>619</v>
      </c>
      <c r="E383" s="450" t="s">
        <v>1121</v>
      </c>
      <c r="F383" s="450"/>
      <c r="G383" s="591">
        <f t="shared" ref="G383:J384" si="131">G384</f>
        <v>25</v>
      </c>
      <c r="H383" s="591">
        <f t="shared" si="131"/>
        <v>0</v>
      </c>
      <c r="I383" s="591">
        <f t="shared" si="131"/>
        <v>34.378</v>
      </c>
      <c r="J383" s="591">
        <f t="shared" si="131"/>
        <v>0</v>
      </c>
      <c r="K383" s="591">
        <f t="shared" si="128"/>
        <v>9.3780000000000001</v>
      </c>
      <c r="L383" s="591">
        <f t="shared" si="129"/>
        <v>0</v>
      </c>
      <c r="M383" s="217">
        <f t="shared" si="130"/>
        <v>0</v>
      </c>
      <c r="N383" s="292"/>
      <c r="R383" s="591">
        <f>R384</f>
        <v>31.9</v>
      </c>
      <c r="S383" s="591">
        <f>S384</f>
        <v>0</v>
      </c>
      <c r="T383" s="309"/>
      <c r="U383" s="498">
        <f>U384</f>
        <v>25</v>
      </c>
      <c r="V383" s="498">
        <f>V384</f>
        <v>0</v>
      </c>
      <c r="W383" s="310">
        <f t="shared" si="123"/>
        <v>-9.3780000000000001</v>
      </c>
      <c r="X383" s="310">
        <f t="shared" si="124"/>
        <v>0</v>
      </c>
    </row>
    <row r="384" spans="1:24" s="307" customFormat="1" ht="15" x14ac:dyDescent="0.2">
      <c r="A384" s="746" t="s">
        <v>949</v>
      </c>
      <c r="B384" s="306" t="s">
        <v>644</v>
      </c>
      <c r="C384" s="354" t="s">
        <v>608</v>
      </c>
      <c r="D384" s="354" t="s">
        <v>619</v>
      </c>
      <c r="E384" s="450" t="s">
        <v>1123</v>
      </c>
      <c r="F384" s="450"/>
      <c r="G384" s="591">
        <f t="shared" si="131"/>
        <v>25</v>
      </c>
      <c r="H384" s="591">
        <f t="shared" si="131"/>
        <v>0</v>
      </c>
      <c r="I384" s="591">
        <f t="shared" si="131"/>
        <v>34.378</v>
      </c>
      <c r="J384" s="591">
        <f t="shared" si="131"/>
        <v>0</v>
      </c>
      <c r="K384" s="591">
        <f t="shared" si="128"/>
        <v>9.3780000000000001</v>
      </c>
      <c r="L384" s="591">
        <f t="shared" si="129"/>
        <v>0</v>
      </c>
      <c r="M384" s="217">
        <f t="shared" si="130"/>
        <v>0</v>
      </c>
      <c r="N384" s="292"/>
      <c r="R384" s="591">
        <f>R385</f>
        <v>31.9</v>
      </c>
      <c r="S384" s="591">
        <f>S385</f>
        <v>0</v>
      </c>
      <c r="T384" s="309"/>
      <c r="U384" s="498">
        <f>U385</f>
        <v>25</v>
      </c>
      <c r="V384" s="498">
        <f>V385</f>
        <v>0</v>
      </c>
      <c r="W384" s="310">
        <f t="shared" si="123"/>
        <v>-9.3780000000000001</v>
      </c>
      <c r="X384" s="310">
        <f t="shared" si="124"/>
        <v>0</v>
      </c>
    </row>
    <row r="385" spans="1:25" s="307" customFormat="1" ht="15" x14ac:dyDescent="0.2">
      <c r="A385" s="739" t="s">
        <v>834</v>
      </c>
      <c r="B385" s="243" t="s">
        <v>644</v>
      </c>
      <c r="C385" s="353" t="s">
        <v>608</v>
      </c>
      <c r="D385" s="353" t="s">
        <v>619</v>
      </c>
      <c r="E385" s="369" t="s">
        <v>1123</v>
      </c>
      <c r="F385" s="369" t="s">
        <v>634</v>
      </c>
      <c r="G385" s="288">
        <v>25</v>
      </c>
      <c r="H385" s="288"/>
      <c r="I385" s="288">
        <v>34.378</v>
      </c>
      <c r="J385" s="288"/>
      <c r="K385" s="43">
        <f t="shared" si="128"/>
        <v>9.3780000000000001</v>
      </c>
      <c r="L385" s="43">
        <f t="shared" si="129"/>
        <v>0</v>
      </c>
      <c r="M385" s="217">
        <f t="shared" si="130"/>
        <v>0</v>
      </c>
      <c r="N385" s="292"/>
      <c r="R385" s="288">
        <v>31.9</v>
      </c>
      <c r="S385" s="288"/>
      <c r="T385" s="309"/>
      <c r="U385" s="288">
        <v>25</v>
      </c>
      <c r="V385" s="288">
        <v>0</v>
      </c>
      <c r="W385" s="310">
        <f t="shared" si="123"/>
        <v>-9.3780000000000001</v>
      </c>
      <c r="X385" s="310">
        <f t="shared" si="124"/>
        <v>0</v>
      </c>
    </row>
    <row r="386" spans="1:25" s="307" customFormat="1" ht="31.5" customHeight="1" x14ac:dyDescent="0.2">
      <c r="A386" s="746" t="s">
        <v>946</v>
      </c>
      <c r="B386" s="306" t="s">
        <v>644</v>
      </c>
      <c r="C386" s="354" t="s">
        <v>608</v>
      </c>
      <c r="D386" s="354" t="s">
        <v>619</v>
      </c>
      <c r="E386" s="450" t="s">
        <v>1124</v>
      </c>
      <c r="F386" s="450"/>
      <c r="G386" s="591">
        <f t="shared" ref="G386:J387" si="132">G387</f>
        <v>25</v>
      </c>
      <c r="H386" s="591">
        <f t="shared" si="132"/>
        <v>0</v>
      </c>
      <c r="I386" s="591">
        <f t="shared" si="132"/>
        <v>5</v>
      </c>
      <c r="J386" s="591">
        <f t="shared" si="132"/>
        <v>0</v>
      </c>
      <c r="K386" s="591">
        <f t="shared" si="128"/>
        <v>-20</v>
      </c>
      <c r="L386" s="591">
        <f t="shared" si="129"/>
        <v>0</v>
      </c>
      <c r="M386" s="217">
        <f t="shared" si="130"/>
        <v>0</v>
      </c>
      <c r="N386" s="292"/>
      <c r="R386" s="591">
        <f>R387</f>
        <v>35</v>
      </c>
      <c r="S386" s="591">
        <f>S387</f>
        <v>0</v>
      </c>
      <c r="T386" s="309"/>
      <c r="U386" s="498">
        <f>U387</f>
        <v>30</v>
      </c>
      <c r="V386" s="498">
        <f>V387</f>
        <v>0</v>
      </c>
      <c r="W386" s="310">
        <f t="shared" si="123"/>
        <v>20</v>
      </c>
      <c r="X386" s="310">
        <f t="shared" si="124"/>
        <v>0</v>
      </c>
      <c r="Y386" s="410" t="s">
        <v>1126</v>
      </c>
    </row>
    <row r="387" spans="1:25" s="307" customFormat="1" ht="16.5" customHeight="1" x14ac:dyDescent="0.2">
      <c r="A387" s="746" t="s">
        <v>949</v>
      </c>
      <c r="B387" s="306" t="s">
        <v>644</v>
      </c>
      <c r="C387" s="354" t="s">
        <v>608</v>
      </c>
      <c r="D387" s="354" t="s">
        <v>619</v>
      </c>
      <c r="E387" s="450" t="s">
        <v>1125</v>
      </c>
      <c r="F387" s="450"/>
      <c r="G387" s="591">
        <f t="shared" si="132"/>
        <v>25</v>
      </c>
      <c r="H387" s="591">
        <f t="shared" si="132"/>
        <v>0</v>
      </c>
      <c r="I387" s="591">
        <f t="shared" si="132"/>
        <v>5</v>
      </c>
      <c r="J387" s="591">
        <f t="shared" si="132"/>
        <v>0</v>
      </c>
      <c r="K387" s="591">
        <f t="shared" si="128"/>
        <v>-20</v>
      </c>
      <c r="L387" s="591">
        <f t="shared" si="129"/>
        <v>0</v>
      </c>
      <c r="M387" s="217">
        <f t="shared" si="130"/>
        <v>0</v>
      </c>
      <c r="N387" s="292"/>
      <c r="R387" s="591">
        <f>R388</f>
        <v>35</v>
      </c>
      <c r="S387" s="591">
        <f>S388</f>
        <v>0</v>
      </c>
      <c r="T387" s="309"/>
      <c r="U387" s="498">
        <f>U388</f>
        <v>30</v>
      </c>
      <c r="V387" s="498">
        <f>V388</f>
        <v>0</v>
      </c>
      <c r="W387" s="310">
        <f t="shared" si="123"/>
        <v>20</v>
      </c>
      <c r="X387" s="310">
        <f t="shared" si="124"/>
        <v>0</v>
      </c>
      <c r="Y387" s="410" t="s">
        <v>949</v>
      </c>
    </row>
    <row r="388" spans="1:25" s="307" customFormat="1" ht="15" x14ac:dyDescent="0.2">
      <c r="A388" s="739" t="s">
        <v>834</v>
      </c>
      <c r="B388" s="243" t="s">
        <v>644</v>
      </c>
      <c r="C388" s="353" t="s">
        <v>608</v>
      </c>
      <c r="D388" s="353" t="s">
        <v>619</v>
      </c>
      <c r="E388" s="369" t="s">
        <v>1125</v>
      </c>
      <c r="F388" s="369" t="s">
        <v>634</v>
      </c>
      <c r="G388" s="288">
        <v>25</v>
      </c>
      <c r="H388" s="288"/>
      <c r="I388" s="288">
        <v>5</v>
      </c>
      <c r="J388" s="288"/>
      <c r="K388" s="43">
        <f t="shared" si="128"/>
        <v>-20</v>
      </c>
      <c r="L388" s="43">
        <f t="shared" si="129"/>
        <v>0</v>
      </c>
      <c r="M388" s="217">
        <f t="shared" si="130"/>
        <v>0</v>
      </c>
      <c r="N388" s="292"/>
      <c r="R388" s="288">
        <v>35</v>
      </c>
      <c r="S388" s="288"/>
      <c r="T388" s="309"/>
      <c r="U388" s="288">
        <v>30</v>
      </c>
      <c r="V388" s="288">
        <v>0</v>
      </c>
      <c r="W388" s="310">
        <f t="shared" si="123"/>
        <v>20</v>
      </c>
      <c r="X388" s="310">
        <f t="shared" si="124"/>
        <v>0</v>
      </c>
      <c r="Y388" s="124" t="s">
        <v>834</v>
      </c>
    </row>
    <row r="389" spans="1:25" s="307" customFormat="1" ht="15.75" customHeight="1" x14ac:dyDescent="0.2">
      <c r="A389" s="746" t="s">
        <v>1270</v>
      </c>
      <c r="B389" s="306" t="s">
        <v>644</v>
      </c>
      <c r="C389" s="354" t="s">
        <v>608</v>
      </c>
      <c r="D389" s="354" t="s">
        <v>619</v>
      </c>
      <c r="E389" s="450" t="s">
        <v>1127</v>
      </c>
      <c r="F389" s="450"/>
      <c r="G389" s="591">
        <f t="shared" ref="G389:J390" si="133">G390</f>
        <v>55</v>
      </c>
      <c r="H389" s="591">
        <f t="shared" si="133"/>
        <v>0</v>
      </c>
      <c r="I389" s="591">
        <f t="shared" si="133"/>
        <v>22.2</v>
      </c>
      <c r="J389" s="591">
        <f t="shared" si="133"/>
        <v>0</v>
      </c>
      <c r="K389" s="591">
        <f t="shared" si="128"/>
        <v>-32.799999999999997</v>
      </c>
      <c r="L389" s="591">
        <f t="shared" si="129"/>
        <v>0</v>
      </c>
      <c r="M389" s="217">
        <f t="shared" si="130"/>
        <v>0</v>
      </c>
      <c r="N389" s="292"/>
      <c r="R389" s="591">
        <f>R390</f>
        <v>60</v>
      </c>
      <c r="S389" s="591">
        <f>S390</f>
        <v>0</v>
      </c>
      <c r="T389" s="309"/>
      <c r="U389" s="498">
        <f>U390</f>
        <v>8.5</v>
      </c>
      <c r="V389" s="498">
        <f>V390</f>
        <v>0</v>
      </c>
      <c r="W389" s="310">
        <f t="shared" si="123"/>
        <v>32.799999999999997</v>
      </c>
      <c r="X389" s="310">
        <f t="shared" si="124"/>
        <v>0</v>
      </c>
      <c r="Y389" s="410" t="s">
        <v>1129</v>
      </c>
    </row>
    <row r="390" spans="1:25" s="307" customFormat="1" ht="16.5" customHeight="1" x14ac:dyDescent="0.2">
      <c r="A390" s="746" t="s">
        <v>949</v>
      </c>
      <c r="B390" s="306" t="s">
        <v>644</v>
      </c>
      <c r="C390" s="354" t="s">
        <v>608</v>
      </c>
      <c r="D390" s="354" t="s">
        <v>619</v>
      </c>
      <c r="E390" s="450" t="s">
        <v>1128</v>
      </c>
      <c r="F390" s="450"/>
      <c r="G390" s="591">
        <f t="shared" si="133"/>
        <v>55</v>
      </c>
      <c r="H390" s="591">
        <f t="shared" si="133"/>
        <v>0</v>
      </c>
      <c r="I390" s="591">
        <f t="shared" si="133"/>
        <v>22.2</v>
      </c>
      <c r="J390" s="591">
        <f t="shared" si="133"/>
        <v>0</v>
      </c>
      <c r="K390" s="591">
        <f t="shared" si="128"/>
        <v>-32.799999999999997</v>
      </c>
      <c r="L390" s="591">
        <f t="shared" si="129"/>
        <v>0</v>
      </c>
      <c r="M390" s="217">
        <f t="shared" si="130"/>
        <v>0</v>
      </c>
      <c r="N390" s="292"/>
      <c r="R390" s="591">
        <f>R391</f>
        <v>60</v>
      </c>
      <c r="S390" s="591">
        <f>S391</f>
        <v>0</v>
      </c>
      <c r="T390" s="309"/>
      <c r="U390" s="498">
        <f>U391</f>
        <v>8.5</v>
      </c>
      <c r="V390" s="498">
        <f>V391</f>
        <v>0</v>
      </c>
      <c r="W390" s="310">
        <f t="shared" si="123"/>
        <v>32.799999999999997</v>
      </c>
      <c r="X390" s="310">
        <f t="shared" si="124"/>
        <v>0</v>
      </c>
      <c r="Y390" s="410" t="s">
        <v>949</v>
      </c>
    </row>
    <row r="391" spans="1:25" s="307" customFormat="1" ht="15" x14ac:dyDescent="0.2">
      <c r="A391" s="739" t="s">
        <v>834</v>
      </c>
      <c r="B391" s="243" t="s">
        <v>644</v>
      </c>
      <c r="C391" s="353" t="s">
        <v>608</v>
      </c>
      <c r="D391" s="353" t="s">
        <v>619</v>
      </c>
      <c r="E391" s="369" t="s">
        <v>1128</v>
      </c>
      <c r="F391" s="369" t="s">
        <v>634</v>
      </c>
      <c r="G391" s="288">
        <v>55</v>
      </c>
      <c r="H391" s="288"/>
      <c r="I391" s="288">
        <v>22.2</v>
      </c>
      <c r="J391" s="288"/>
      <c r="K391" s="43">
        <f t="shared" si="128"/>
        <v>-32.799999999999997</v>
      </c>
      <c r="L391" s="43">
        <f t="shared" si="129"/>
        <v>0</v>
      </c>
      <c r="M391" s="217">
        <f t="shared" si="130"/>
        <v>0</v>
      </c>
      <c r="N391" s="292"/>
      <c r="R391" s="288">
        <v>60</v>
      </c>
      <c r="S391" s="288"/>
      <c r="T391" s="309"/>
      <c r="U391" s="288">
        <v>8.5</v>
      </c>
      <c r="V391" s="288">
        <v>0</v>
      </c>
      <c r="W391" s="310">
        <f t="shared" si="123"/>
        <v>32.799999999999997</v>
      </c>
      <c r="X391" s="310">
        <f t="shared" si="124"/>
        <v>0</v>
      </c>
      <c r="Y391" s="124" t="s">
        <v>834</v>
      </c>
    </row>
    <row r="392" spans="1:25" s="307" customFormat="1" ht="27" customHeight="1" x14ac:dyDescent="0.2">
      <c r="A392" s="746" t="s">
        <v>1271</v>
      </c>
      <c r="B392" s="306" t="s">
        <v>644</v>
      </c>
      <c r="C392" s="354" t="s">
        <v>608</v>
      </c>
      <c r="D392" s="354" t="s">
        <v>619</v>
      </c>
      <c r="E392" s="450" t="s">
        <v>947</v>
      </c>
      <c r="F392" s="450"/>
      <c r="G392" s="591">
        <f t="shared" ref="G392:J393" si="134">G393</f>
        <v>30</v>
      </c>
      <c r="H392" s="591">
        <f t="shared" si="134"/>
        <v>0</v>
      </c>
      <c r="I392" s="591">
        <f t="shared" si="134"/>
        <v>20.622</v>
      </c>
      <c r="J392" s="591">
        <f t="shared" si="134"/>
        <v>0</v>
      </c>
      <c r="K392" s="591">
        <f t="shared" si="128"/>
        <v>-9.3780000000000001</v>
      </c>
      <c r="L392" s="591">
        <f t="shared" si="129"/>
        <v>0</v>
      </c>
      <c r="M392" s="217">
        <f t="shared" si="130"/>
        <v>0</v>
      </c>
      <c r="N392" s="292"/>
      <c r="R392" s="591">
        <f>R393</f>
        <v>20</v>
      </c>
      <c r="S392" s="591">
        <f>S393</f>
        <v>0</v>
      </c>
      <c r="T392" s="309"/>
      <c r="U392" s="498">
        <f>U393</f>
        <v>55.5</v>
      </c>
      <c r="V392" s="498">
        <f>V393</f>
        <v>0</v>
      </c>
      <c r="W392" s="310">
        <f t="shared" si="123"/>
        <v>9.3780000000000001</v>
      </c>
      <c r="X392" s="310">
        <f t="shared" si="124"/>
        <v>0</v>
      </c>
      <c r="Y392" s="410" t="s">
        <v>946</v>
      </c>
    </row>
    <row r="393" spans="1:25" s="307" customFormat="1" ht="15" x14ac:dyDescent="0.2">
      <c r="A393" s="746" t="s">
        <v>949</v>
      </c>
      <c r="B393" s="306" t="s">
        <v>644</v>
      </c>
      <c r="C393" s="354" t="s">
        <v>608</v>
      </c>
      <c r="D393" s="354" t="s">
        <v>619</v>
      </c>
      <c r="E393" s="450" t="s">
        <v>948</v>
      </c>
      <c r="F393" s="450"/>
      <c r="G393" s="591">
        <f t="shared" si="134"/>
        <v>30</v>
      </c>
      <c r="H393" s="591">
        <f t="shared" si="134"/>
        <v>0</v>
      </c>
      <c r="I393" s="591">
        <f t="shared" si="134"/>
        <v>20.622</v>
      </c>
      <c r="J393" s="591">
        <f t="shared" si="134"/>
        <v>0</v>
      </c>
      <c r="K393" s="591">
        <f t="shared" si="128"/>
        <v>-9.3780000000000001</v>
      </c>
      <c r="L393" s="591">
        <f t="shared" si="129"/>
        <v>0</v>
      </c>
      <c r="M393" s="217">
        <f t="shared" si="130"/>
        <v>0</v>
      </c>
      <c r="N393" s="292"/>
      <c r="R393" s="591">
        <f>R394</f>
        <v>20</v>
      </c>
      <c r="S393" s="591">
        <f>S394</f>
        <v>0</v>
      </c>
      <c r="T393" s="309"/>
      <c r="U393" s="498">
        <f>U394</f>
        <v>55.5</v>
      </c>
      <c r="V393" s="498">
        <f>V394</f>
        <v>0</v>
      </c>
      <c r="W393" s="310">
        <f t="shared" si="123"/>
        <v>9.3780000000000001</v>
      </c>
      <c r="X393" s="310">
        <f t="shared" si="124"/>
        <v>0</v>
      </c>
    </row>
    <row r="394" spans="1:25" ht="15" x14ac:dyDescent="0.2">
      <c r="A394" s="739" t="s">
        <v>834</v>
      </c>
      <c r="B394" s="243" t="s">
        <v>644</v>
      </c>
      <c r="C394" s="353" t="s">
        <v>608</v>
      </c>
      <c r="D394" s="353" t="s">
        <v>619</v>
      </c>
      <c r="E394" s="369" t="s">
        <v>948</v>
      </c>
      <c r="F394" s="369" t="s">
        <v>634</v>
      </c>
      <c r="G394" s="288">
        <v>30</v>
      </c>
      <c r="H394" s="288"/>
      <c r="I394" s="288">
        <v>20.622</v>
      </c>
      <c r="J394" s="288"/>
      <c r="K394" s="43">
        <f t="shared" si="128"/>
        <v>-9.3780000000000001</v>
      </c>
      <c r="L394" s="43">
        <f t="shared" si="129"/>
        <v>0</v>
      </c>
      <c r="M394" s="217">
        <f t="shared" si="130"/>
        <v>0</v>
      </c>
      <c r="N394" s="42"/>
      <c r="R394" s="288">
        <v>20</v>
      </c>
      <c r="S394" s="288"/>
      <c r="T394" s="217"/>
      <c r="U394" s="288">
        <v>55.5</v>
      </c>
      <c r="V394" s="288">
        <v>0</v>
      </c>
      <c r="W394" s="203">
        <f t="shared" si="123"/>
        <v>9.3780000000000001</v>
      </c>
      <c r="X394" s="203">
        <f t="shared" si="124"/>
        <v>0</v>
      </c>
    </row>
    <row r="395" spans="1:25" s="307" customFormat="1" ht="15" x14ac:dyDescent="0.2">
      <c r="A395" s="746" t="s">
        <v>778</v>
      </c>
      <c r="B395" s="306" t="s">
        <v>644</v>
      </c>
      <c r="C395" s="354" t="s">
        <v>608</v>
      </c>
      <c r="D395" s="354" t="s">
        <v>619</v>
      </c>
      <c r="E395" s="450" t="s">
        <v>776</v>
      </c>
      <c r="F395" s="450"/>
      <c r="G395" s="591">
        <f>G399+G407+G410+G402+G413+G396+G417+G421</f>
        <v>1170</v>
      </c>
      <c r="H395" s="591">
        <f>H399+H407+H410+H402+H413+H396+H417+H421</f>
        <v>0</v>
      </c>
      <c r="I395" s="591">
        <f>I399+I407+I410+I402+I413+I396+I417+I421</f>
        <v>869.91200000000003</v>
      </c>
      <c r="J395" s="591">
        <f>J399+J407+J410+J402+J413+J396+J417+J421</f>
        <v>0</v>
      </c>
      <c r="K395" s="591">
        <f t="shared" si="128"/>
        <v>-300.08799999999997</v>
      </c>
      <c r="L395" s="591">
        <f t="shared" si="129"/>
        <v>0</v>
      </c>
      <c r="M395" s="217">
        <f t="shared" si="130"/>
        <v>0</v>
      </c>
      <c r="N395" s="292">
        <f>N399+N426+N429</f>
        <v>70</v>
      </c>
      <c r="R395" s="591">
        <f>R399+R407+R410+R402+R413+R396</f>
        <v>281.60000000000002</v>
      </c>
      <c r="S395" s="591">
        <f>S399+S407+S410+S402+S413+S396</f>
        <v>0</v>
      </c>
      <c r="T395" s="309">
        <f t="shared" ref="T395:T444" si="135">I395-G395</f>
        <v>-300.08799999999997</v>
      </c>
      <c r="U395" s="498">
        <f>U399+U407+U410+U402+U413+U396</f>
        <v>365.16667000000001</v>
      </c>
      <c r="V395" s="498">
        <f>V399+V407+V410+V402+V413+V396</f>
        <v>0</v>
      </c>
      <c r="W395" s="310">
        <f t="shared" si="123"/>
        <v>300.08799999999997</v>
      </c>
      <c r="X395" s="310">
        <f t="shared" si="124"/>
        <v>0</v>
      </c>
    </row>
    <row r="396" spans="1:25" s="307" customFormat="1" ht="15" hidden="1" x14ac:dyDescent="0.2">
      <c r="A396" s="451" t="s">
        <v>1272</v>
      </c>
      <c r="B396" s="306" t="s">
        <v>644</v>
      </c>
      <c r="C396" s="354" t="s">
        <v>608</v>
      </c>
      <c r="D396" s="354" t="s">
        <v>619</v>
      </c>
      <c r="E396" s="450">
        <v>8120100000</v>
      </c>
      <c r="F396" s="450"/>
      <c r="G396" s="498">
        <f t="shared" ref="G396:J397" si="136">G397</f>
        <v>50</v>
      </c>
      <c r="H396" s="498">
        <f t="shared" si="136"/>
        <v>0</v>
      </c>
      <c r="I396" s="714">
        <f t="shared" si="136"/>
        <v>0</v>
      </c>
      <c r="J396" s="591">
        <f t="shared" si="136"/>
        <v>0</v>
      </c>
      <c r="K396" s="591">
        <f t="shared" si="128"/>
        <v>-50</v>
      </c>
      <c r="L396" s="591">
        <f t="shared" si="129"/>
        <v>0</v>
      </c>
      <c r="M396" s="217">
        <f t="shared" si="130"/>
        <v>0</v>
      </c>
      <c r="N396" s="292"/>
      <c r="R396" s="591">
        <f>R397</f>
        <v>0</v>
      </c>
      <c r="S396" s="591">
        <f>S397</f>
        <v>0</v>
      </c>
      <c r="T396" s="309"/>
      <c r="U396" s="498">
        <f>U397</f>
        <v>50</v>
      </c>
      <c r="V396" s="498">
        <f>V397</f>
        <v>0</v>
      </c>
      <c r="W396" s="310"/>
      <c r="X396" s="310"/>
    </row>
    <row r="397" spans="1:25" s="307" customFormat="1" ht="15" hidden="1" x14ac:dyDescent="0.2">
      <c r="A397" s="451" t="s">
        <v>1131</v>
      </c>
      <c r="B397" s="306" t="s">
        <v>644</v>
      </c>
      <c r="C397" s="354" t="s">
        <v>608</v>
      </c>
      <c r="D397" s="354" t="s">
        <v>619</v>
      </c>
      <c r="E397" s="450">
        <v>8120182960</v>
      </c>
      <c r="F397" s="450"/>
      <c r="G397" s="498">
        <f t="shared" si="136"/>
        <v>50</v>
      </c>
      <c r="H397" s="498">
        <f t="shared" si="136"/>
        <v>0</v>
      </c>
      <c r="I397" s="714">
        <f t="shared" si="136"/>
        <v>0</v>
      </c>
      <c r="J397" s="591">
        <f t="shared" si="136"/>
        <v>0</v>
      </c>
      <c r="K397" s="591">
        <f t="shared" si="128"/>
        <v>-50</v>
      </c>
      <c r="L397" s="591">
        <f t="shared" si="129"/>
        <v>0</v>
      </c>
      <c r="M397" s="217">
        <f t="shared" si="130"/>
        <v>0</v>
      </c>
      <c r="N397" s="292"/>
      <c r="R397" s="591">
        <f>R398</f>
        <v>0</v>
      </c>
      <c r="S397" s="591">
        <f>S398</f>
        <v>0</v>
      </c>
      <c r="T397" s="309"/>
      <c r="U397" s="498">
        <f>U398</f>
        <v>50</v>
      </c>
      <c r="V397" s="498">
        <f>V398</f>
        <v>0</v>
      </c>
      <c r="W397" s="310"/>
      <c r="X397" s="310"/>
    </row>
    <row r="398" spans="1:25" s="307" customFormat="1" ht="15" hidden="1" x14ac:dyDescent="0.2">
      <c r="A398" s="124" t="s">
        <v>834</v>
      </c>
      <c r="B398" s="243" t="s">
        <v>644</v>
      </c>
      <c r="C398" s="353" t="s">
        <v>608</v>
      </c>
      <c r="D398" s="353" t="s">
        <v>619</v>
      </c>
      <c r="E398" s="369">
        <v>8120182960</v>
      </c>
      <c r="F398" s="369" t="s">
        <v>634</v>
      </c>
      <c r="G398" s="288">
        <v>50</v>
      </c>
      <c r="H398" s="288"/>
      <c r="I398" s="713">
        <v>0</v>
      </c>
      <c r="J398" s="288"/>
      <c r="K398" s="43">
        <f t="shared" si="128"/>
        <v>-50</v>
      </c>
      <c r="L398" s="43">
        <f t="shared" si="129"/>
        <v>0</v>
      </c>
      <c r="M398" s="217">
        <f t="shared" si="130"/>
        <v>0</v>
      </c>
      <c r="N398" s="292"/>
      <c r="R398" s="288"/>
      <c r="S398" s="288"/>
      <c r="T398" s="309"/>
      <c r="U398" s="288">
        <v>50</v>
      </c>
      <c r="V398" s="288">
        <v>0</v>
      </c>
      <c r="W398" s="310"/>
      <c r="X398" s="310"/>
    </row>
    <row r="399" spans="1:25" s="307" customFormat="1" ht="15" x14ac:dyDescent="0.2">
      <c r="A399" s="746" t="s">
        <v>1273</v>
      </c>
      <c r="B399" s="306" t="s">
        <v>644</v>
      </c>
      <c r="C399" s="354" t="s">
        <v>608</v>
      </c>
      <c r="D399" s="354" t="s">
        <v>619</v>
      </c>
      <c r="E399" s="450" t="s">
        <v>777</v>
      </c>
      <c r="F399" s="450"/>
      <c r="G399" s="591">
        <f t="shared" ref="G399:J400" si="137">G400</f>
        <v>300</v>
      </c>
      <c r="H399" s="591">
        <f t="shared" si="137"/>
        <v>0</v>
      </c>
      <c r="I399" s="591">
        <f t="shared" si="137"/>
        <v>96</v>
      </c>
      <c r="J399" s="591">
        <f t="shared" si="137"/>
        <v>0</v>
      </c>
      <c r="K399" s="591">
        <f t="shared" si="128"/>
        <v>-204</v>
      </c>
      <c r="L399" s="591">
        <f t="shared" si="129"/>
        <v>0</v>
      </c>
      <c r="M399" s="217">
        <f t="shared" si="130"/>
        <v>0</v>
      </c>
      <c r="N399" s="292"/>
      <c r="R399" s="591">
        <f>R400</f>
        <v>90</v>
      </c>
      <c r="S399" s="591">
        <f>S400</f>
        <v>0</v>
      </c>
      <c r="T399" s="309">
        <f t="shared" si="135"/>
        <v>-204</v>
      </c>
      <c r="U399" s="498">
        <f>U400</f>
        <v>0</v>
      </c>
      <c r="V399" s="498">
        <f>V400</f>
        <v>0</v>
      </c>
      <c r="W399" s="310">
        <f t="shared" si="123"/>
        <v>204</v>
      </c>
      <c r="X399" s="310">
        <f t="shared" si="124"/>
        <v>0</v>
      </c>
    </row>
    <row r="400" spans="1:25" s="307" customFormat="1" ht="15" x14ac:dyDescent="0.2">
      <c r="A400" s="746" t="s">
        <v>1131</v>
      </c>
      <c r="B400" s="306" t="s">
        <v>644</v>
      </c>
      <c r="C400" s="354" t="s">
        <v>608</v>
      </c>
      <c r="D400" s="354" t="s">
        <v>619</v>
      </c>
      <c r="E400" s="450" t="s">
        <v>1130</v>
      </c>
      <c r="F400" s="450"/>
      <c r="G400" s="591">
        <f t="shared" si="137"/>
        <v>300</v>
      </c>
      <c r="H400" s="591">
        <f t="shared" si="137"/>
        <v>0</v>
      </c>
      <c r="I400" s="591">
        <f t="shared" si="137"/>
        <v>96</v>
      </c>
      <c r="J400" s="591">
        <f t="shared" si="137"/>
        <v>0</v>
      </c>
      <c r="K400" s="591">
        <f t="shared" si="128"/>
        <v>-204</v>
      </c>
      <c r="L400" s="591">
        <f t="shared" si="129"/>
        <v>0</v>
      </c>
      <c r="M400" s="217">
        <f t="shared" si="130"/>
        <v>0</v>
      </c>
      <c r="N400" s="292"/>
      <c r="R400" s="591">
        <f>R401</f>
        <v>90</v>
      </c>
      <c r="S400" s="591">
        <f>S401</f>
        <v>0</v>
      </c>
      <c r="T400" s="309">
        <f t="shared" si="135"/>
        <v>-204</v>
      </c>
      <c r="U400" s="498">
        <f>U401</f>
        <v>0</v>
      </c>
      <c r="V400" s="498">
        <f>V401</f>
        <v>0</v>
      </c>
      <c r="W400" s="310">
        <f t="shared" si="123"/>
        <v>204</v>
      </c>
      <c r="X400" s="310">
        <f t="shared" si="124"/>
        <v>0</v>
      </c>
    </row>
    <row r="401" spans="1:24" ht="15" x14ac:dyDescent="0.2">
      <c r="A401" s="739" t="s">
        <v>834</v>
      </c>
      <c r="B401" s="243" t="s">
        <v>644</v>
      </c>
      <c r="C401" s="353" t="s">
        <v>608</v>
      </c>
      <c r="D401" s="353" t="s">
        <v>619</v>
      </c>
      <c r="E401" s="369" t="s">
        <v>1130</v>
      </c>
      <c r="F401" s="369" t="s">
        <v>634</v>
      </c>
      <c r="G401" s="288">
        <v>300</v>
      </c>
      <c r="H401" s="288"/>
      <c r="I401" s="288">
        <v>96</v>
      </c>
      <c r="J401" s="288"/>
      <c r="K401" s="43">
        <f t="shared" si="128"/>
        <v>-204</v>
      </c>
      <c r="L401" s="43">
        <f t="shared" si="129"/>
        <v>0</v>
      </c>
      <c r="M401" s="217">
        <f t="shared" si="130"/>
        <v>0</v>
      </c>
      <c r="N401" s="42"/>
      <c r="R401" s="288">
        <v>90</v>
      </c>
      <c r="S401" s="288">
        <v>0</v>
      </c>
      <c r="T401" s="217">
        <f t="shared" si="135"/>
        <v>-204</v>
      </c>
      <c r="U401" s="288">
        <v>0</v>
      </c>
      <c r="V401" s="288">
        <v>0</v>
      </c>
      <c r="W401" s="203">
        <f t="shared" si="123"/>
        <v>204</v>
      </c>
      <c r="X401" s="203">
        <f t="shared" si="124"/>
        <v>0</v>
      </c>
    </row>
    <row r="402" spans="1:24" s="317" customFormat="1" ht="25.5" hidden="1" x14ac:dyDescent="0.2">
      <c r="A402" s="451" t="s">
        <v>1274</v>
      </c>
      <c r="B402" s="306" t="s">
        <v>644</v>
      </c>
      <c r="C402" s="354" t="s">
        <v>608</v>
      </c>
      <c r="D402" s="354" t="s">
        <v>619</v>
      </c>
      <c r="E402" s="450" t="s">
        <v>1160</v>
      </c>
      <c r="F402" s="450"/>
      <c r="G402" s="498">
        <f>G405+G403</f>
        <v>0</v>
      </c>
      <c r="H402" s="498">
        <f>H405+H403</f>
        <v>0</v>
      </c>
      <c r="I402" s="591">
        <f>I405+I403</f>
        <v>0</v>
      </c>
      <c r="J402" s="591">
        <f>J405+J403</f>
        <v>0</v>
      </c>
      <c r="K402" s="591">
        <f t="shared" si="128"/>
        <v>0</v>
      </c>
      <c r="L402" s="591">
        <f t="shared" si="129"/>
        <v>0</v>
      </c>
      <c r="M402" s="217">
        <f t="shared" si="130"/>
        <v>0</v>
      </c>
      <c r="N402" s="318"/>
      <c r="R402" s="591">
        <f>R405+R403</f>
        <v>0</v>
      </c>
      <c r="S402" s="591">
        <f>S405+S403</f>
        <v>0</v>
      </c>
      <c r="T402" s="319">
        <f t="shared" si="135"/>
        <v>0</v>
      </c>
      <c r="U402" s="498">
        <f>U405+U403</f>
        <v>41.666670000000003</v>
      </c>
      <c r="V402" s="498">
        <f>V405+V403</f>
        <v>0</v>
      </c>
      <c r="W402" s="310">
        <f t="shared" si="123"/>
        <v>0</v>
      </c>
      <c r="X402" s="310">
        <f t="shared" si="124"/>
        <v>0</v>
      </c>
    </row>
    <row r="403" spans="1:24" s="317" customFormat="1" ht="15" hidden="1" x14ac:dyDescent="0.2">
      <c r="A403" s="636" t="s">
        <v>1131</v>
      </c>
      <c r="B403" s="306" t="s">
        <v>644</v>
      </c>
      <c r="C403" s="354" t="s">
        <v>608</v>
      </c>
      <c r="D403" s="354" t="s">
        <v>619</v>
      </c>
      <c r="E403" s="450">
        <v>8120382960</v>
      </c>
      <c r="F403" s="450"/>
      <c r="G403" s="498">
        <f>G404</f>
        <v>0</v>
      </c>
      <c r="H403" s="498">
        <f>H404</f>
        <v>0</v>
      </c>
      <c r="I403" s="591">
        <f>I404</f>
        <v>0</v>
      </c>
      <c r="J403" s="591">
        <f>J404</f>
        <v>0</v>
      </c>
      <c r="K403" s="591">
        <f t="shared" si="128"/>
        <v>0</v>
      </c>
      <c r="L403" s="591">
        <f t="shared" si="129"/>
        <v>0</v>
      </c>
      <c r="M403" s="217">
        <f t="shared" si="130"/>
        <v>0</v>
      </c>
      <c r="N403" s="318"/>
      <c r="R403" s="591">
        <f>R404</f>
        <v>0</v>
      </c>
      <c r="S403" s="591">
        <f>S404</f>
        <v>0</v>
      </c>
      <c r="T403" s="319"/>
      <c r="U403" s="498">
        <f t="shared" ref="U403:V405" si="138">U404</f>
        <v>41.666670000000003</v>
      </c>
      <c r="V403" s="498">
        <f t="shared" si="138"/>
        <v>0</v>
      </c>
      <c r="W403" s="310"/>
      <c r="X403" s="310"/>
    </row>
    <row r="404" spans="1:24" s="317" customFormat="1" ht="15" hidden="1" x14ac:dyDescent="0.2">
      <c r="A404" s="124" t="s">
        <v>834</v>
      </c>
      <c r="B404" s="243" t="s">
        <v>644</v>
      </c>
      <c r="C404" s="353" t="s">
        <v>608</v>
      </c>
      <c r="D404" s="353" t="s">
        <v>619</v>
      </c>
      <c r="E404" s="369">
        <v>8120382960</v>
      </c>
      <c r="F404" s="369" t="s">
        <v>634</v>
      </c>
      <c r="G404" s="288">
        <v>0</v>
      </c>
      <c r="H404" s="288"/>
      <c r="I404" s="288">
        <v>0</v>
      </c>
      <c r="J404" s="288"/>
      <c r="K404" s="43">
        <f t="shared" si="128"/>
        <v>0</v>
      </c>
      <c r="L404" s="43">
        <f t="shared" si="129"/>
        <v>0</v>
      </c>
      <c r="M404" s="217">
        <f t="shared" si="130"/>
        <v>0</v>
      </c>
      <c r="N404" s="318"/>
      <c r="R404" s="288"/>
      <c r="S404" s="288"/>
      <c r="T404" s="319"/>
      <c r="U404" s="288">
        <v>41.666670000000003</v>
      </c>
      <c r="V404" s="288">
        <v>0</v>
      </c>
      <c r="W404" s="310"/>
      <c r="X404" s="310"/>
    </row>
    <row r="405" spans="1:24" s="317" customFormat="1" ht="26.25" hidden="1" customHeight="1" x14ac:dyDescent="0.2">
      <c r="A405" s="451" t="s">
        <v>1162</v>
      </c>
      <c r="B405" s="306" t="s">
        <v>644</v>
      </c>
      <c r="C405" s="354" t="s">
        <v>608</v>
      </c>
      <c r="D405" s="354" t="s">
        <v>619</v>
      </c>
      <c r="E405" s="450" t="s">
        <v>1161</v>
      </c>
      <c r="F405" s="450"/>
      <c r="G405" s="498">
        <f>G406</f>
        <v>0</v>
      </c>
      <c r="H405" s="498">
        <f>H406</f>
        <v>0</v>
      </c>
      <c r="I405" s="591">
        <f>I406</f>
        <v>0</v>
      </c>
      <c r="J405" s="591">
        <f>J406</f>
        <v>0</v>
      </c>
      <c r="K405" s="591">
        <f t="shared" si="128"/>
        <v>0</v>
      </c>
      <c r="L405" s="591">
        <f t="shared" si="129"/>
        <v>0</v>
      </c>
      <c r="M405" s="217">
        <f t="shared" si="130"/>
        <v>0</v>
      </c>
      <c r="N405" s="318"/>
      <c r="R405" s="591">
        <f>R406</f>
        <v>0</v>
      </c>
      <c r="S405" s="591">
        <f>S406</f>
        <v>0</v>
      </c>
      <c r="T405" s="319">
        <f t="shared" si="135"/>
        <v>0</v>
      </c>
      <c r="U405" s="498">
        <f t="shared" si="138"/>
        <v>0</v>
      </c>
      <c r="V405" s="498">
        <f t="shared" si="138"/>
        <v>0</v>
      </c>
      <c r="W405" s="310">
        <f t="shared" si="123"/>
        <v>0</v>
      </c>
      <c r="X405" s="310">
        <f t="shared" si="124"/>
        <v>0</v>
      </c>
    </row>
    <row r="406" spans="1:24" s="283" customFormat="1" ht="17.25" hidden="1" customHeight="1" x14ac:dyDescent="0.2">
      <c r="A406" s="124" t="s">
        <v>834</v>
      </c>
      <c r="B406" s="243" t="s">
        <v>644</v>
      </c>
      <c r="C406" s="353" t="s">
        <v>608</v>
      </c>
      <c r="D406" s="353" t="s">
        <v>619</v>
      </c>
      <c r="E406" s="369" t="s">
        <v>1161</v>
      </c>
      <c r="F406" s="369" t="s">
        <v>634</v>
      </c>
      <c r="G406" s="288">
        <v>0</v>
      </c>
      <c r="H406" s="288">
        <v>0</v>
      </c>
      <c r="I406" s="288">
        <v>0</v>
      </c>
      <c r="J406" s="288">
        <v>0</v>
      </c>
      <c r="K406" s="43">
        <f t="shared" si="128"/>
        <v>0</v>
      </c>
      <c r="L406" s="43">
        <f t="shared" si="129"/>
        <v>0</v>
      </c>
      <c r="M406" s="217">
        <f t="shared" si="130"/>
        <v>0</v>
      </c>
      <c r="N406" s="262"/>
      <c r="R406" s="288">
        <v>0</v>
      </c>
      <c r="S406" s="288">
        <v>0</v>
      </c>
      <c r="T406" s="284">
        <f t="shared" si="135"/>
        <v>0</v>
      </c>
      <c r="U406" s="288">
        <v>0</v>
      </c>
      <c r="V406" s="288">
        <v>0</v>
      </c>
      <c r="W406" s="203">
        <f t="shared" si="123"/>
        <v>0</v>
      </c>
      <c r="X406" s="203">
        <f t="shared" si="124"/>
        <v>0</v>
      </c>
    </row>
    <row r="407" spans="1:24" s="307" customFormat="1" ht="15" x14ac:dyDescent="0.2">
      <c r="A407" s="746" t="s">
        <v>1704</v>
      </c>
      <c r="B407" s="306" t="s">
        <v>644</v>
      </c>
      <c r="C407" s="354" t="s">
        <v>608</v>
      </c>
      <c r="D407" s="354" t="s">
        <v>619</v>
      </c>
      <c r="E407" s="450" t="s">
        <v>1086</v>
      </c>
      <c r="F407" s="450"/>
      <c r="G407" s="591">
        <f t="shared" ref="G407:J408" si="139">G408</f>
        <v>120</v>
      </c>
      <c r="H407" s="591">
        <f t="shared" si="139"/>
        <v>0</v>
      </c>
      <c r="I407" s="591">
        <f t="shared" si="139"/>
        <v>73.912000000000006</v>
      </c>
      <c r="J407" s="591">
        <f t="shared" si="139"/>
        <v>0</v>
      </c>
      <c r="K407" s="591">
        <f t="shared" si="128"/>
        <v>-46.087999999999994</v>
      </c>
      <c r="L407" s="591">
        <f t="shared" si="129"/>
        <v>0</v>
      </c>
      <c r="M407" s="217">
        <f t="shared" si="130"/>
        <v>0</v>
      </c>
      <c r="N407" s="292"/>
      <c r="R407" s="591">
        <f>R408</f>
        <v>0</v>
      </c>
      <c r="S407" s="591">
        <f>S408</f>
        <v>0</v>
      </c>
      <c r="T407" s="309">
        <f t="shared" si="135"/>
        <v>-46.087999999999994</v>
      </c>
      <c r="U407" s="498">
        <f>U408</f>
        <v>100</v>
      </c>
      <c r="V407" s="498">
        <f>V408</f>
        <v>0</v>
      </c>
      <c r="W407" s="310">
        <f t="shared" si="123"/>
        <v>46.087999999999994</v>
      </c>
      <c r="X407" s="310">
        <f t="shared" si="124"/>
        <v>0</v>
      </c>
    </row>
    <row r="408" spans="1:24" s="307" customFormat="1" ht="15" x14ac:dyDescent="0.2">
      <c r="A408" s="746" t="s">
        <v>1131</v>
      </c>
      <c r="B408" s="306" t="s">
        <v>644</v>
      </c>
      <c r="C408" s="354" t="s">
        <v>608</v>
      </c>
      <c r="D408" s="354" t="s">
        <v>619</v>
      </c>
      <c r="E408" s="450" t="s">
        <v>1132</v>
      </c>
      <c r="F408" s="450"/>
      <c r="G408" s="591">
        <f t="shared" si="139"/>
        <v>120</v>
      </c>
      <c r="H408" s="591">
        <f t="shared" si="139"/>
        <v>0</v>
      </c>
      <c r="I408" s="591">
        <f t="shared" si="139"/>
        <v>73.912000000000006</v>
      </c>
      <c r="J408" s="591">
        <f t="shared" si="139"/>
        <v>0</v>
      </c>
      <c r="K408" s="591">
        <f t="shared" si="128"/>
        <v>-46.087999999999994</v>
      </c>
      <c r="L408" s="591">
        <f t="shared" si="129"/>
        <v>0</v>
      </c>
      <c r="M408" s="217">
        <f t="shared" si="130"/>
        <v>0</v>
      </c>
      <c r="N408" s="292"/>
      <c r="R408" s="591">
        <f>R409</f>
        <v>0</v>
      </c>
      <c r="S408" s="591">
        <f>S409</f>
        <v>0</v>
      </c>
      <c r="T408" s="309">
        <f t="shared" si="135"/>
        <v>-46.087999999999994</v>
      </c>
      <c r="U408" s="498">
        <f>U409</f>
        <v>100</v>
      </c>
      <c r="V408" s="498">
        <f>V409</f>
        <v>0</v>
      </c>
      <c r="W408" s="310">
        <f t="shared" si="123"/>
        <v>46.087999999999994</v>
      </c>
      <c r="X408" s="310">
        <f t="shared" si="124"/>
        <v>0</v>
      </c>
    </row>
    <row r="409" spans="1:24" ht="15" x14ac:dyDescent="0.2">
      <c r="A409" s="739" t="s">
        <v>834</v>
      </c>
      <c r="B409" s="243" t="s">
        <v>644</v>
      </c>
      <c r="C409" s="353" t="s">
        <v>608</v>
      </c>
      <c r="D409" s="353" t="s">
        <v>619</v>
      </c>
      <c r="E409" s="369" t="s">
        <v>1132</v>
      </c>
      <c r="F409" s="369" t="s">
        <v>634</v>
      </c>
      <c r="G409" s="288">
        <v>120</v>
      </c>
      <c r="H409" s="288"/>
      <c r="I409" s="288">
        <v>73.912000000000006</v>
      </c>
      <c r="J409" s="288"/>
      <c r="K409" s="43">
        <f t="shared" si="128"/>
        <v>-46.087999999999994</v>
      </c>
      <c r="L409" s="43">
        <f t="shared" si="129"/>
        <v>0</v>
      </c>
      <c r="M409" s="217">
        <f t="shared" si="130"/>
        <v>0</v>
      </c>
      <c r="N409" s="42"/>
      <c r="R409" s="288">
        <v>0</v>
      </c>
      <c r="S409" s="288"/>
      <c r="T409" s="217">
        <f t="shared" si="135"/>
        <v>-46.087999999999994</v>
      </c>
      <c r="U409" s="288">
        <v>100</v>
      </c>
      <c r="V409" s="288">
        <v>0</v>
      </c>
      <c r="W409" s="203">
        <f t="shared" si="123"/>
        <v>46.087999999999994</v>
      </c>
      <c r="X409" s="203">
        <f t="shared" si="124"/>
        <v>0</v>
      </c>
    </row>
    <row r="410" spans="1:24" s="307" customFormat="1" ht="25.5" hidden="1" x14ac:dyDescent="0.2">
      <c r="A410" s="621" t="s">
        <v>1705</v>
      </c>
      <c r="B410" s="306" t="s">
        <v>644</v>
      </c>
      <c r="C410" s="354" t="s">
        <v>608</v>
      </c>
      <c r="D410" s="354" t="s">
        <v>619</v>
      </c>
      <c r="E410" s="450" t="s">
        <v>942</v>
      </c>
      <c r="F410" s="450"/>
      <c r="G410" s="498">
        <f t="shared" ref="G410:J411" si="140">G411</f>
        <v>0</v>
      </c>
      <c r="H410" s="498">
        <f t="shared" si="140"/>
        <v>0</v>
      </c>
      <c r="I410" s="591">
        <f t="shared" si="140"/>
        <v>0</v>
      </c>
      <c r="J410" s="591">
        <f t="shared" si="140"/>
        <v>0</v>
      </c>
      <c r="K410" s="591">
        <f t="shared" si="128"/>
        <v>0</v>
      </c>
      <c r="L410" s="591">
        <f t="shared" si="129"/>
        <v>0</v>
      </c>
      <c r="M410" s="217">
        <f t="shared" si="130"/>
        <v>0</v>
      </c>
      <c r="N410" s="292"/>
      <c r="R410" s="591">
        <f>R411</f>
        <v>0</v>
      </c>
      <c r="S410" s="591">
        <f>S411</f>
        <v>0</v>
      </c>
      <c r="T410" s="309">
        <f t="shared" si="135"/>
        <v>0</v>
      </c>
      <c r="U410" s="498">
        <f>U411</f>
        <v>153.5</v>
      </c>
      <c r="V410" s="498">
        <f>V411</f>
        <v>0</v>
      </c>
      <c r="W410" s="310">
        <f t="shared" si="123"/>
        <v>0</v>
      </c>
      <c r="X410" s="310">
        <f t="shared" si="124"/>
        <v>0</v>
      </c>
    </row>
    <row r="411" spans="1:24" s="307" customFormat="1" ht="15" hidden="1" x14ac:dyDescent="0.2">
      <c r="A411" s="451" t="s">
        <v>1131</v>
      </c>
      <c r="B411" s="306" t="s">
        <v>644</v>
      </c>
      <c r="C411" s="354" t="s">
        <v>608</v>
      </c>
      <c r="D411" s="354" t="s">
        <v>619</v>
      </c>
      <c r="E411" s="450" t="s">
        <v>1133</v>
      </c>
      <c r="F411" s="450"/>
      <c r="G411" s="498">
        <f t="shared" si="140"/>
        <v>0</v>
      </c>
      <c r="H411" s="498">
        <f t="shared" si="140"/>
        <v>0</v>
      </c>
      <c r="I411" s="591">
        <f t="shared" si="140"/>
        <v>0</v>
      </c>
      <c r="J411" s="591">
        <f t="shared" si="140"/>
        <v>0</v>
      </c>
      <c r="K411" s="591">
        <f t="shared" si="128"/>
        <v>0</v>
      </c>
      <c r="L411" s="591">
        <f t="shared" si="129"/>
        <v>0</v>
      </c>
      <c r="M411" s="217">
        <f t="shared" si="130"/>
        <v>0</v>
      </c>
      <c r="N411" s="292"/>
      <c r="R411" s="591">
        <f>R412</f>
        <v>0</v>
      </c>
      <c r="S411" s="591">
        <f>S412</f>
        <v>0</v>
      </c>
      <c r="T411" s="309">
        <f t="shared" si="135"/>
        <v>0</v>
      </c>
      <c r="U411" s="498">
        <f>U412</f>
        <v>153.5</v>
      </c>
      <c r="V411" s="498">
        <f>V412</f>
        <v>0</v>
      </c>
      <c r="W411" s="310">
        <f t="shared" si="123"/>
        <v>0</v>
      </c>
      <c r="X411" s="310">
        <f t="shared" si="124"/>
        <v>0</v>
      </c>
    </row>
    <row r="412" spans="1:24" ht="15" hidden="1" x14ac:dyDescent="0.2">
      <c r="A412" s="124" t="s">
        <v>834</v>
      </c>
      <c r="B412" s="243" t="s">
        <v>644</v>
      </c>
      <c r="C412" s="353" t="s">
        <v>608</v>
      </c>
      <c r="D412" s="353" t="s">
        <v>619</v>
      </c>
      <c r="E412" s="369" t="s">
        <v>1133</v>
      </c>
      <c r="F412" s="369" t="s">
        <v>634</v>
      </c>
      <c r="G412" s="288"/>
      <c r="H412" s="288"/>
      <c r="I412" s="288"/>
      <c r="J412" s="288"/>
      <c r="K412" s="43">
        <f t="shared" si="128"/>
        <v>0</v>
      </c>
      <c r="L412" s="43">
        <f t="shared" si="129"/>
        <v>0</v>
      </c>
      <c r="M412" s="217">
        <f t="shared" si="130"/>
        <v>0</v>
      </c>
      <c r="N412" s="42"/>
      <c r="R412" s="288"/>
      <c r="S412" s="288"/>
      <c r="T412" s="217">
        <f t="shared" si="135"/>
        <v>0</v>
      </c>
      <c r="U412" s="288">
        <v>153.5</v>
      </c>
      <c r="V412" s="288">
        <v>0</v>
      </c>
      <c r="W412" s="203">
        <f t="shared" si="123"/>
        <v>0</v>
      </c>
      <c r="X412" s="203">
        <f t="shared" si="124"/>
        <v>0</v>
      </c>
    </row>
    <row r="413" spans="1:24" s="307" customFormat="1" ht="25.5" x14ac:dyDescent="0.2">
      <c r="A413" s="746" t="s">
        <v>1706</v>
      </c>
      <c r="B413" s="306" t="s">
        <v>644</v>
      </c>
      <c r="C413" s="354" t="s">
        <v>608</v>
      </c>
      <c r="D413" s="354" t="s">
        <v>619</v>
      </c>
      <c r="E413" s="450" t="s">
        <v>1163</v>
      </c>
      <c r="F413" s="450"/>
      <c r="G413" s="591">
        <f>G414</f>
        <v>100</v>
      </c>
      <c r="H413" s="591">
        <f>H414</f>
        <v>0</v>
      </c>
      <c r="I413" s="591">
        <f>I414</f>
        <v>100</v>
      </c>
      <c r="J413" s="591">
        <f>J414</f>
        <v>0</v>
      </c>
      <c r="K413" s="591">
        <f t="shared" si="128"/>
        <v>0</v>
      </c>
      <c r="L413" s="591">
        <f t="shared" si="129"/>
        <v>0</v>
      </c>
      <c r="M413" s="217">
        <f t="shared" si="130"/>
        <v>0</v>
      </c>
      <c r="N413" s="292"/>
      <c r="R413" s="591">
        <f>R414</f>
        <v>191.6</v>
      </c>
      <c r="S413" s="591">
        <f>S414</f>
        <v>0</v>
      </c>
      <c r="T413" s="309">
        <f t="shared" si="135"/>
        <v>0</v>
      </c>
      <c r="U413" s="498">
        <f>U414</f>
        <v>20</v>
      </c>
      <c r="V413" s="498">
        <f>V414</f>
        <v>0</v>
      </c>
      <c r="W413" s="310">
        <f t="shared" si="123"/>
        <v>0</v>
      </c>
      <c r="X413" s="310">
        <f t="shared" si="124"/>
        <v>0</v>
      </c>
    </row>
    <row r="414" spans="1:24" s="307" customFormat="1" ht="15" x14ac:dyDescent="0.2">
      <c r="A414" s="746" t="s">
        <v>1131</v>
      </c>
      <c r="B414" s="306" t="s">
        <v>644</v>
      </c>
      <c r="C414" s="354" t="s">
        <v>608</v>
      </c>
      <c r="D414" s="354" t="s">
        <v>619</v>
      </c>
      <c r="E414" s="450" t="s">
        <v>1164</v>
      </c>
      <c r="F414" s="450"/>
      <c r="G414" s="591">
        <f>G416+G415</f>
        <v>100</v>
      </c>
      <c r="H414" s="591">
        <f>H416+H415</f>
        <v>0</v>
      </c>
      <c r="I414" s="591">
        <f>I416+I415</f>
        <v>100</v>
      </c>
      <c r="J414" s="591">
        <f>J416+J415</f>
        <v>0</v>
      </c>
      <c r="K414" s="591">
        <f t="shared" si="128"/>
        <v>0</v>
      </c>
      <c r="L414" s="591">
        <f t="shared" si="129"/>
        <v>0</v>
      </c>
      <c r="M414" s="217">
        <f t="shared" si="130"/>
        <v>0</v>
      </c>
      <c r="N414" s="292"/>
      <c r="R414" s="591">
        <f>R416</f>
        <v>191.6</v>
      </c>
      <c r="S414" s="591">
        <f>S416</f>
        <v>0</v>
      </c>
      <c r="T414" s="309">
        <f t="shared" si="135"/>
        <v>0</v>
      </c>
      <c r="U414" s="498">
        <f>U416</f>
        <v>20</v>
      </c>
      <c r="V414" s="498">
        <f>V416</f>
        <v>0</v>
      </c>
      <c r="W414" s="310">
        <f t="shared" si="123"/>
        <v>0</v>
      </c>
      <c r="X414" s="310">
        <f t="shared" si="124"/>
        <v>0</v>
      </c>
    </row>
    <row r="415" spans="1:24" ht="15" x14ac:dyDescent="0.2">
      <c r="A415" s="744" t="s">
        <v>834</v>
      </c>
      <c r="B415" s="243" t="s">
        <v>644</v>
      </c>
      <c r="C415" s="353" t="s">
        <v>608</v>
      </c>
      <c r="D415" s="353" t="s">
        <v>619</v>
      </c>
      <c r="E415" s="369" t="s">
        <v>1164</v>
      </c>
      <c r="F415" s="369">
        <v>244</v>
      </c>
      <c r="G415" s="288">
        <v>100</v>
      </c>
      <c r="H415" s="288"/>
      <c r="I415" s="288">
        <v>100</v>
      </c>
      <c r="J415" s="288"/>
      <c r="K415" s="43">
        <f t="shared" si="128"/>
        <v>0</v>
      </c>
      <c r="L415" s="43">
        <f t="shared" si="129"/>
        <v>0</v>
      </c>
      <c r="M415" s="217">
        <f>I415-G415-K415</f>
        <v>0</v>
      </c>
      <c r="N415" s="42"/>
      <c r="R415" s="288">
        <v>191.6</v>
      </c>
      <c r="S415" s="288"/>
      <c r="T415" s="217">
        <f>I415-G415</f>
        <v>0</v>
      </c>
      <c r="U415" s="288">
        <v>20</v>
      </c>
      <c r="V415" s="288">
        <v>0</v>
      </c>
      <c r="W415" s="203">
        <f>G415-I415</f>
        <v>0</v>
      </c>
      <c r="X415" s="203">
        <f>K415+W415</f>
        <v>0</v>
      </c>
    </row>
    <row r="416" spans="1:24" ht="15" hidden="1" x14ac:dyDescent="0.2">
      <c r="A416" s="186" t="s">
        <v>1140</v>
      </c>
      <c r="B416" s="243" t="s">
        <v>644</v>
      </c>
      <c r="C416" s="353" t="s">
        <v>608</v>
      </c>
      <c r="D416" s="353" t="s">
        <v>619</v>
      </c>
      <c r="E416" s="369" t="s">
        <v>1164</v>
      </c>
      <c r="F416" s="369">
        <v>350</v>
      </c>
      <c r="G416" s="288"/>
      <c r="H416" s="288"/>
      <c r="I416" s="288"/>
      <c r="J416" s="288"/>
      <c r="K416" s="43">
        <f t="shared" si="128"/>
        <v>0</v>
      </c>
      <c r="L416" s="43">
        <f t="shared" si="129"/>
        <v>0</v>
      </c>
      <c r="M416" s="217">
        <f t="shared" si="130"/>
        <v>0</v>
      </c>
      <c r="N416" s="42"/>
      <c r="R416" s="288">
        <v>191.6</v>
      </c>
      <c r="S416" s="288"/>
      <c r="T416" s="217">
        <f t="shared" si="135"/>
        <v>0</v>
      </c>
      <c r="U416" s="288">
        <v>20</v>
      </c>
      <c r="V416" s="288">
        <v>0</v>
      </c>
      <c r="W416" s="203">
        <f t="shared" si="123"/>
        <v>0</v>
      </c>
      <c r="X416" s="203">
        <f t="shared" si="124"/>
        <v>0</v>
      </c>
    </row>
    <row r="417" spans="1:24" ht="15" x14ac:dyDescent="0.2">
      <c r="A417" s="746" t="s">
        <v>1275</v>
      </c>
      <c r="B417" s="306" t="s">
        <v>644</v>
      </c>
      <c r="C417" s="354" t="s">
        <v>608</v>
      </c>
      <c r="D417" s="354" t="s">
        <v>619</v>
      </c>
      <c r="E417" s="620">
        <v>8120700000</v>
      </c>
      <c r="F417" s="620"/>
      <c r="G417" s="591">
        <f>G418</f>
        <v>20</v>
      </c>
      <c r="H417" s="591">
        <f>H418</f>
        <v>0</v>
      </c>
      <c r="I417" s="591">
        <f>I418</f>
        <v>20</v>
      </c>
      <c r="J417" s="591">
        <f>J418</f>
        <v>0</v>
      </c>
      <c r="K417" s="591">
        <f t="shared" si="128"/>
        <v>0</v>
      </c>
      <c r="L417" s="591">
        <f t="shared" si="129"/>
        <v>0</v>
      </c>
      <c r="M417" s="217"/>
      <c r="N417" s="42"/>
      <c r="R417" s="288"/>
      <c r="S417" s="288"/>
      <c r="T417" s="217"/>
      <c r="U417" s="288"/>
      <c r="V417" s="288"/>
      <c r="W417" s="203"/>
      <c r="X417" s="203"/>
    </row>
    <row r="418" spans="1:24" ht="15" x14ac:dyDescent="0.2">
      <c r="A418" s="746" t="s">
        <v>1131</v>
      </c>
      <c r="B418" s="306" t="s">
        <v>644</v>
      </c>
      <c r="C418" s="354" t="s">
        <v>608</v>
      </c>
      <c r="D418" s="354" t="s">
        <v>619</v>
      </c>
      <c r="E418" s="620">
        <v>8120782960</v>
      </c>
      <c r="F418" s="620"/>
      <c r="G418" s="591">
        <f t="shared" ref="G418:L418" si="141">G420+G419</f>
        <v>20</v>
      </c>
      <c r="H418" s="591">
        <f t="shared" si="141"/>
        <v>0</v>
      </c>
      <c r="I418" s="591">
        <f t="shared" si="141"/>
        <v>20</v>
      </c>
      <c r="J418" s="591">
        <f t="shared" si="141"/>
        <v>0</v>
      </c>
      <c r="K418" s="591">
        <f t="shared" si="141"/>
        <v>0</v>
      </c>
      <c r="L418" s="591">
        <f t="shared" si="141"/>
        <v>0</v>
      </c>
      <c r="M418" s="217"/>
      <c r="N418" s="42"/>
      <c r="R418" s="288"/>
      <c r="S418" s="288"/>
      <c r="T418" s="217"/>
      <c r="U418" s="288"/>
      <c r="V418" s="288"/>
      <c r="W418" s="203"/>
      <c r="X418" s="203"/>
    </row>
    <row r="419" spans="1:24" ht="15" x14ac:dyDescent="0.2">
      <c r="A419" s="744" t="s">
        <v>834</v>
      </c>
      <c r="B419" s="243" t="s">
        <v>644</v>
      </c>
      <c r="C419" s="353" t="s">
        <v>608</v>
      </c>
      <c r="D419" s="353" t="s">
        <v>619</v>
      </c>
      <c r="E419" s="369">
        <v>8120782960</v>
      </c>
      <c r="F419" s="369">
        <v>244</v>
      </c>
      <c r="G419" s="288">
        <v>20</v>
      </c>
      <c r="H419" s="288"/>
      <c r="I419" s="288">
        <v>20</v>
      </c>
      <c r="J419" s="288"/>
      <c r="K419" s="43">
        <f>I419-G419</f>
        <v>0</v>
      </c>
      <c r="L419" s="43">
        <f>J419-H419</f>
        <v>0</v>
      </c>
      <c r="M419" s="217"/>
      <c r="N419" s="42"/>
      <c r="R419" s="288"/>
      <c r="S419" s="288"/>
      <c r="T419" s="217"/>
      <c r="U419" s="288"/>
      <c r="V419" s="288"/>
      <c r="W419" s="203"/>
      <c r="X419" s="203"/>
    </row>
    <row r="420" spans="1:24" ht="15" hidden="1" x14ac:dyDescent="0.2">
      <c r="A420" s="186" t="s">
        <v>1140</v>
      </c>
      <c r="B420" s="243" t="s">
        <v>644</v>
      </c>
      <c r="C420" s="353" t="s">
        <v>608</v>
      </c>
      <c r="D420" s="353" t="s">
        <v>619</v>
      </c>
      <c r="E420" s="369">
        <v>8120782960</v>
      </c>
      <c r="F420" s="369">
        <v>350</v>
      </c>
      <c r="G420" s="288">
        <v>0</v>
      </c>
      <c r="H420" s="288"/>
      <c r="I420" s="288">
        <v>0</v>
      </c>
      <c r="J420" s="288"/>
      <c r="K420" s="43">
        <f t="shared" si="128"/>
        <v>0</v>
      </c>
      <c r="L420" s="43">
        <f t="shared" si="129"/>
        <v>0</v>
      </c>
      <c r="M420" s="217"/>
      <c r="N420" s="42"/>
      <c r="R420" s="288"/>
      <c r="S420" s="288"/>
      <c r="T420" s="217"/>
      <c r="U420" s="288"/>
      <c r="V420" s="288"/>
      <c r="W420" s="203"/>
      <c r="X420" s="203"/>
    </row>
    <row r="421" spans="1:24" ht="15" x14ac:dyDescent="0.2">
      <c r="A421" s="746" t="s">
        <v>1816</v>
      </c>
      <c r="B421" s="306" t="s">
        <v>644</v>
      </c>
      <c r="C421" s="354" t="s">
        <v>608</v>
      </c>
      <c r="D421" s="354" t="s">
        <v>619</v>
      </c>
      <c r="E421" s="640">
        <v>8120800000</v>
      </c>
      <c r="F421" s="640"/>
      <c r="G421" s="591">
        <f t="shared" ref="G421:L421" si="142">G422+G424</f>
        <v>580</v>
      </c>
      <c r="H421" s="591">
        <f t="shared" si="142"/>
        <v>0</v>
      </c>
      <c r="I421" s="591">
        <f t="shared" si="142"/>
        <v>580</v>
      </c>
      <c r="J421" s="591">
        <f t="shared" si="142"/>
        <v>0</v>
      </c>
      <c r="K421" s="591">
        <f t="shared" si="142"/>
        <v>0</v>
      </c>
      <c r="L421" s="591">
        <f t="shared" si="142"/>
        <v>0</v>
      </c>
      <c r="M421" s="217"/>
      <c r="N421" s="42"/>
      <c r="R421" s="288"/>
      <c r="S421" s="288"/>
      <c r="T421" s="217"/>
      <c r="U421" s="288"/>
      <c r="V421" s="288"/>
      <c r="W421" s="203"/>
      <c r="X421" s="203"/>
    </row>
    <row r="422" spans="1:24" ht="15" x14ac:dyDescent="0.2">
      <c r="A422" s="746" t="s">
        <v>1131</v>
      </c>
      <c r="B422" s="306" t="s">
        <v>644</v>
      </c>
      <c r="C422" s="354" t="s">
        <v>608</v>
      </c>
      <c r="D422" s="354" t="s">
        <v>619</v>
      </c>
      <c r="E422" s="640">
        <v>8120882960</v>
      </c>
      <c r="F422" s="640"/>
      <c r="G422" s="591">
        <f>G423</f>
        <v>330</v>
      </c>
      <c r="H422" s="591">
        <f>H423</f>
        <v>0</v>
      </c>
      <c r="I422" s="591">
        <f>I423</f>
        <v>330</v>
      </c>
      <c r="J422" s="591">
        <f>J423</f>
        <v>0</v>
      </c>
      <c r="K422" s="591">
        <f t="shared" si="128"/>
        <v>0</v>
      </c>
      <c r="L422" s="591">
        <f t="shared" si="129"/>
        <v>0</v>
      </c>
      <c r="M422" s="217"/>
      <c r="N422" s="42"/>
      <c r="R422" s="288"/>
      <c r="S422" s="288"/>
      <c r="T422" s="217"/>
      <c r="U422" s="288"/>
      <c r="V422" s="288"/>
      <c r="W422" s="203"/>
      <c r="X422" s="203"/>
    </row>
    <row r="423" spans="1:24" ht="15" x14ac:dyDescent="0.2">
      <c r="A423" s="744" t="s">
        <v>1140</v>
      </c>
      <c r="B423" s="243" t="s">
        <v>644</v>
      </c>
      <c r="C423" s="353" t="s">
        <v>608</v>
      </c>
      <c r="D423" s="353" t="s">
        <v>619</v>
      </c>
      <c r="E423" s="369">
        <v>8120882960</v>
      </c>
      <c r="F423" s="369">
        <v>350</v>
      </c>
      <c r="G423" s="288">
        <v>330</v>
      </c>
      <c r="H423" s="288"/>
      <c r="I423" s="288">
        <v>330</v>
      </c>
      <c r="J423" s="288"/>
      <c r="K423" s="43">
        <f t="shared" si="128"/>
        <v>0</v>
      </c>
      <c r="L423" s="43">
        <f t="shared" si="129"/>
        <v>0</v>
      </c>
      <c r="M423" s="217"/>
      <c r="N423" s="42"/>
      <c r="R423" s="288"/>
      <c r="S423" s="288"/>
      <c r="T423" s="217"/>
      <c r="U423" s="288"/>
      <c r="V423" s="288"/>
      <c r="W423" s="203"/>
      <c r="X423" s="203"/>
    </row>
    <row r="424" spans="1:24" ht="25.5" customHeight="1" x14ac:dyDescent="0.2">
      <c r="A424" s="741" t="s">
        <v>1935</v>
      </c>
      <c r="B424" s="388" t="s">
        <v>644</v>
      </c>
      <c r="C424" s="389" t="s">
        <v>608</v>
      </c>
      <c r="D424" s="389" t="s">
        <v>619</v>
      </c>
      <c r="E424" s="515" t="s">
        <v>1936</v>
      </c>
      <c r="F424" s="390"/>
      <c r="G424" s="391">
        <f t="shared" ref="G424:L424" si="143">G425</f>
        <v>250</v>
      </c>
      <c r="H424" s="391">
        <f t="shared" si="143"/>
        <v>0</v>
      </c>
      <c r="I424" s="391">
        <f t="shared" si="143"/>
        <v>250</v>
      </c>
      <c r="J424" s="391">
        <f t="shared" si="143"/>
        <v>0</v>
      </c>
      <c r="K424" s="391">
        <f t="shared" si="143"/>
        <v>0</v>
      </c>
      <c r="L424" s="391">
        <f t="shared" si="143"/>
        <v>0</v>
      </c>
      <c r="M424" s="217"/>
      <c r="N424" s="42"/>
      <c r="R424" s="288"/>
      <c r="S424" s="288"/>
      <c r="T424" s="217"/>
      <c r="U424" s="288"/>
      <c r="V424" s="288"/>
      <c r="W424" s="203"/>
      <c r="X424" s="203"/>
    </row>
    <row r="425" spans="1:24" ht="15" x14ac:dyDescent="0.2">
      <c r="A425" s="744" t="s">
        <v>1937</v>
      </c>
      <c r="B425" s="243" t="s">
        <v>644</v>
      </c>
      <c r="C425" s="353" t="s">
        <v>608</v>
      </c>
      <c r="D425" s="353" t="s">
        <v>619</v>
      </c>
      <c r="E425" s="369" t="s">
        <v>1936</v>
      </c>
      <c r="F425" s="369">
        <v>540</v>
      </c>
      <c r="G425" s="288">
        <v>250</v>
      </c>
      <c r="H425" s="288"/>
      <c r="I425" s="288">
        <v>250</v>
      </c>
      <c r="J425" s="288"/>
      <c r="K425" s="43">
        <f>I425-G425</f>
        <v>0</v>
      </c>
      <c r="L425" s="43">
        <f>J425-H425</f>
        <v>0</v>
      </c>
      <c r="M425" s="217"/>
      <c r="N425" s="42"/>
      <c r="R425" s="288"/>
      <c r="S425" s="288"/>
      <c r="T425" s="217"/>
      <c r="U425" s="288"/>
      <c r="V425" s="288"/>
      <c r="W425" s="203"/>
      <c r="X425" s="203"/>
    </row>
    <row r="426" spans="1:24" s="307" customFormat="1" ht="15" x14ac:dyDescent="0.2">
      <c r="A426" s="746" t="s">
        <v>540</v>
      </c>
      <c r="B426" s="306" t="s">
        <v>644</v>
      </c>
      <c r="C426" s="354" t="s">
        <v>608</v>
      </c>
      <c r="D426" s="354" t="s">
        <v>619</v>
      </c>
      <c r="E426" s="450" t="s">
        <v>541</v>
      </c>
      <c r="F426" s="450"/>
      <c r="G426" s="591">
        <f t="shared" ref="G426:L426" si="144">G427+G432+G435+G440</f>
        <v>1726.42336</v>
      </c>
      <c r="H426" s="591">
        <f t="shared" si="144"/>
        <v>0</v>
      </c>
      <c r="I426" s="591">
        <f t="shared" si="144"/>
        <v>1913.86536</v>
      </c>
      <c r="J426" s="591">
        <f t="shared" si="144"/>
        <v>0</v>
      </c>
      <c r="K426" s="591">
        <f t="shared" si="144"/>
        <v>187.44199999999998</v>
      </c>
      <c r="L426" s="591">
        <f t="shared" si="144"/>
        <v>0</v>
      </c>
      <c r="M426" s="217">
        <f t="shared" si="130"/>
        <v>0</v>
      </c>
      <c r="N426" s="292">
        <f>N427+N432+N435</f>
        <v>70</v>
      </c>
      <c r="R426" s="591">
        <f>R427+R432+R435</f>
        <v>2094.1482900000001</v>
      </c>
      <c r="S426" s="591">
        <f>S427+S432+S435</f>
        <v>1575.0174400000001</v>
      </c>
      <c r="T426" s="309">
        <f t="shared" si="135"/>
        <v>187.44200000000001</v>
      </c>
      <c r="U426" s="498">
        <f>U427+U432+U435</f>
        <v>834.09999999999991</v>
      </c>
      <c r="V426" s="498">
        <f>V427+V432+V435</f>
        <v>0</v>
      </c>
      <c r="W426" s="310">
        <f t="shared" si="123"/>
        <v>-187.44200000000001</v>
      </c>
      <c r="X426" s="310">
        <f t="shared" si="124"/>
        <v>0</v>
      </c>
    </row>
    <row r="427" spans="1:24" s="307" customFormat="1" ht="15" x14ac:dyDescent="0.2">
      <c r="A427" s="746" t="s">
        <v>1484</v>
      </c>
      <c r="B427" s="306" t="s">
        <v>644</v>
      </c>
      <c r="C427" s="354" t="s">
        <v>608</v>
      </c>
      <c r="D427" s="354" t="s">
        <v>619</v>
      </c>
      <c r="E427" s="450" t="s">
        <v>552</v>
      </c>
      <c r="F427" s="450"/>
      <c r="G427" s="591">
        <f>G428+G430</f>
        <v>1444.0830000000001</v>
      </c>
      <c r="H427" s="591">
        <f>H428+H430</f>
        <v>0</v>
      </c>
      <c r="I427" s="591">
        <f>I428+I430</f>
        <v>1444.0830000000001</v>
      </c>
      <c r="J427" s="591">
        <f>J428+J430</f>
        <v>0</v>
      </c>
      <c r="K427" s="591">
        <f t="shared" si="128"/>
        <v>0</v>
      </c>
      <c r="L427" s="591">
        <f t="shared" si="129"/>
        <v>0</v>
      </c>
      <c r="M427" s="217">
        <f t="shared" si="130"/>
        <v>0</v>
      </c>
      <c r="N427" s="292">
        <f>N428</f>
        <v>0</v>
      </c>
      <c r="R427" s="591">
        <f>R428+R430</f>
        <v>1680.59</v>
      </c>
      <c r="S427" s="591">
        <f>S428+S430</f>
        <v>1575.0174400000001</v>
      </c>
      <c r="T427" s="309">
        <f t="shared" si="135"/>
        <v>0</v>
      </c>
      <c r="U427" s="498">
        <f>U428+U430</f>
        <v>0</v>
      </c>
      <c r="V427" s="498">
        <f>V428+V430</f>
        <v>0</v>
      </c>
      <c r="W427" s="310">
        <f t="shared" si="123"/>
        <v>0</v>
      </c>
      <c r="X427" s="310">
        <f t="shared" si="124"/>
        <v>0</v>
      </c>
    </row>
    <row r="428" spans="1:24" s="307" customFormat="1" ht="15" x14ac:dyDescent="0.2">
      <c r="A428" s="746" t="s">
        <v>1898</v>
      </c>
      <c r="B428" s="306" t="s">
        <v>644</v>
      </c>
      <c r="C428" s="354" t="s">
        <v>608</v>
      </c>
      <c r="D428" s="354" t="s">
        <v>619</v>
      </c>
      <c r="E428" s="668" t="s">
        <v>1897</v>
      </c>
      <c r="F428" s="450"/>
      <c r="G428" s="591">
        <f>G429</f>
        <v>1444.0830000000001</v>
      </c>
      <c r="H428" s="591">
        <f>H429</f>
        <v>0</v>
      </c>
      <c r="I428" s="591">
        <f>I429</f>
        <v>1444.0830000000001</v>
      </c>
      <c r="J428" s="591">
        <f>J429</f>
        <v>0</v>
      </c>
      <c r="K428" s="591">
        <f t="shared" si="128"/>
        <v>0</v>
      </c>
      <c r="L428" s="591">
        <f t="shared" si="129"/>
        <v>0</v>
      </c>
      <c r="M428" s="217">
        <f t="shared" si="130"/>
        <v>0</v>
      </c>
      <c r="N428" s="292">
        <f>N429</f>
        <v>0</v>
      </c>
      <c r="R428" s="591">
        <f>R429</f>
        <v>1680.59</v>
      </c>
      <c r="S428" s="591">
        <f>S429</f>
        <v>1575.0174400000001</v>
      </c>
      <c r="T428" s="309">
        <f t="shared" si="135"/>
        <v>0</v>
      </c>
      <c r="U428" s="498">
        <f>U429</f>
        <v>0</v>
      </c>
      <c r="V428" s="498">
        <f>V429</f>
        <v>0</v>
      </c>
      <c r="W428" s="310">
        <f t="shared" si="123"/>
        <v>0</v>
      </c>
      <c r="X428" s="310">
        <f t="shared" si="124"/>
        <v>0</v>
      </c>
    </row>
    <row r="429" spans="1:24" ht="15" x14ac:dyDescent="0.2">
      <c r="A429" s="744" t="s">
        <v>834</v>
      </c>
      <c r="B429" s="243" t="s">
        <v>644</v>
      </c>
      <c r="C429" s="353" t="s">
        <v>608</v>
      </c>
      <c r="D429" s="353" t="s">
        <v>619</v>
      </c>
      <c r="E429" s="369" t="s">
        <v>1897</v>
      </c>
      <c r="F429" s="369" t="s">
        <v>634</v>
      </c>
      <c r="G429" s="288">
        <v>1444.0830000000001</v>
      </c>
      <c r="H429" s="288"/>
      <c r="I429" s="288">
        <v>1444.0830000000001</v>
      </c>
      <c r="J429" s="288"/>
      <c r="K429" s="43">
        <f t="shared" si="128"/>
        <v>0</v>
      </c>
      <c r="L429" s="43">
        <f t="shared" si="129"/>
        <v>0</v>
      </c>
      <c r="M429" s="217">
        <f t="shared" si="130"/>
        <v>0</v>
      </c>
      <c r="N429" s="143">
        <v>0</v>
      </c>
      <c r="R429" s="288">
        <v>1680.59</v>
      </c>
      <c r="S429" s="288">
        <v>1575.0174400000001</v>
      </c>
      <c r="T429" s="217">
        <f t="shared" si="135"/>
        <v>0</v>
      </c>
      <c r="U429" s="288">
        <v>0</v>
      </c>
      <c r="V429" s="288"/>
      <c r="W429" s="203">
        <f t="shared" si="123"/>
        <v>0</v>
      </c>
      <c r="X429" s="203">
        <f t="shared" si="124"/>
        <v>0</v>
      </c>
    </row>
    <row r="430" spans="1:24" s="307" customFormat="1" ht="15" hidden="1" x14ac:dyDescent="0.2">
      <c r="A430" s="614" t="s">
        <v>1693</v>
      </c>
      <c r="B430" s="306" t="s">
        <v>644</v>
      </c>
      <c r="C430" s="354" t="s">
        <v>608</v>
      </c>
      <c r="D430" s="354" t="s">
        <v>619</v>
      </c>
      <c r="E430" s="620" t="s">
        <v>1692</v>
      </c>
      <c r="F430" s="450"/>
      <c r="G430" s="498">
        <f>G431</f>
        <v>0</v>
      </c>
      <c r="H430" s="498">
        <f>H431</f>
        <v>0</v>
      </c>
      <c r="I430" s="591">
        <f>I431</f>
        <v>0</v>
      </c>
      <c r="J430" s="591">
        <f>J431</f>
        <v>0</v>
      </c>
      <c r="K430" s="591">
        <f t="shared" si="128"/>
        <v>0</v>
      </c>
      <c r="L430" s="591">
        <f t="shared" si="129"/>
        <v>0</v>
      </c>
      <c r="M430" s="217">
        <f t="shared" si="130"/>
        <v>0</v>
      </c>
      <c r="N430" s="292"/>
      <c r="R430" s="591">
        <f>R431</f>
        <v>0</v>
      </c>
      <c r="S430" s="591">
        <f>S431</f>
        <v>0</v>
      </c>
      <c r="T430" s="309">
        <f t="shared" si="135"/>
        <v>0</v>
      </c>
      <c r="U430" s="498">
        <f>U431</f>
        <v>0</v>
      </c>
      <c r="V430" s="498">
        <f>V431</f>
        <v>0</v>
      </c>
      <c r="W430" s="310">
        <f t="shared" si="123"/>
        <v>0</v>
      </c>
      <c r="X430" s="310">
        <f t="shared" si="124"/>
        <v>0</v>
      </c>
    </row>
    <row r="431" spans="1:24" ht="15" hidden="1" x14ac:dyDescent="0.2">
      <c r="A431" s="124" t="s">
        <v>834</v>
      </c>
      <c r="B431" s="243" t="s">
        <v>644</v>
      </c>
      <c r="C431" s="353" t="s">
        <v>608</v>
      </c>
      <c r="D431" s="353" t="s">
        <v>619</v>
      </c>
      <c r="E431" s="386" t="s">
        <v>1692</v>
      </c>
      <c r="F431" s="369" t="s">
        <v>634</v>
      </c>
      <c r="G431" s="288"/>
      <c r="H431" s="288"/>
      <c r="I431" s="288"/>
      <c r="J431" s="288"/>
      <c r="K431" s="43">
        <f t="shared" si="128"/>
        <v>0</v>
      </c>
      <c r="L431" s="43">
        <f t="shared" si="129"/>
        <v>0</v>
      </c>
      <c r="M431" s="217">
        <f t="shared" si="130"/>
        <v>0</v>
      </c>
      <c r="N431" s="143"/>
      <c r="R431" s="288"/>
      <c r="S431" s="288"/>
      <c r="T431" s="217">
        <f t="shared" si="135"/>
        <v>0</v>
      </c>
      <c r="U431" s="288"/>
      <c r="V431" s="288"/>
      <c r="W431" s="203">
        <f t="shared" si="123"/>
        <v>0</v>
      </c>
      <c r="X431" s="203">
        <f t="shared" si="124"/>
        <v>0</v>
      </c>
    </row>
    <row r="432" spans="1:24" s="307" customFormat="1" ht="25.5" x14ac:dyDescent="0.2">
      <c r="A432" s="746" t="s">
        <v>1276</v>
      </c>
      <c r="B432" s="306" t="s">
        <v>644</v>
      </c>
      <c r="C432" s="354" t="s">
        <v>608</v>
      </c>
      <c r="D432" s="354" t="s">
        <v>619</v>
      </c>
      <c r="E432" s="450" t="s">
        <v>542</v>
      </c>
      <c r="F432" s="450"/>
      <c r="G432" s="591">
        <f t="shared" ref="G432:J433" si="145">G433</f>
        <v>50</v>
      </c>
      <c r="H432" s="591">
        <f t="shared" si="145"/>
        <v>0</v>
      </c>
      <c r="I432" s="591">
        <f t="shared" si="145"/>
        <v>50</v>
      </c>
      <c r="J432" s="591">
        <f t="shared" si="145"/>
        <v>0</v>
      </c>
      <c r="K432" s="591">
        <f t="shared" si="128"/>
        <v>0</v>
      </c>
      <c r="L432" s="591">
        <f t="shared" si="129"/>
        <v>0</v>
      </c>
      <c r="M432" s="217">
        <f t="shared" si="130"/>
        <v>0</v>
      </c>
      <c r="N432" s="292">
        <f>N433</f>
        <v>0</v>
      </c>
      <c r="R432" s="591">
        <f>R433</f>
        <v>104.4</v>
      </c>
      <c r="S432" s="591">
        <f>S433</f>
        <v>0</v>
      </c>
      <c r="T432" s="309">
        <f t="shared" si="135"/>
        <v>0</v>
      </c>
      <c r="U432" s="498">
        <f>U433</f>
        <v>255.8</v>
      </c>
      <c r="V432" s="498">
        <f>V433</f>
        <v>0</v>
      </c>
      <c r="W432" s="310">
        <f t="shared" si="123"/>
        <v>0</v>
      </c>
      <c r="X432" s="310">
        <f t="shared" si="124"/>
        <v>0</v>
      </c>
    </row>
    <row r="433" spans="1:24" s="307" customFormat="1" ht="25.5" x14ac:dyDescent="0.2">
      <c r="A433" s="746" t="s">
        <v>230</v>
      </c>
      <c r="B433" s="306" t="s">
        <v>644</v>
      </c>
      <c r="C433" s="354" t="s">
        <v>608</v>
      </c>
      <c r="D433" s="354" t="s">
        <v>619</v>
      </c>
      <c r="E433" s="450">
        <v>8130282420</v>
      </c>
      <c r="F433" s="450"/>
      <c r="G433" s="591">
        <f t="shared" si="145"/>
        <v>50</v>
      </c>
      <c r="H433" s="591">
        <f t="shared" si="145"/>
        <v>0</v>
      </c>
      <c r="I433" s="591">
        <f t="shared" si="145"/>
        <v>50</v>
      </c>
      <c r="J433" s="591">
        <f t="shared" si="145"/>
        <v>0</v>
      </c>
      <c r="K433" s="591">
        <f t="shared" si="128"/>
        <v>0</v>
      </c>
      <c r="L433" s="591">
        <f t="shared" si="129"/>
        <v>0</v>
      </c>
      <c r="M433" s="217">
        <f t="shared" si="130"/>
        <v>0</v>
      </c>
      <c r="N433" s="292">
        <f>N434</f>
        <v>0</v>
      </c>
      <c r="R433" s="591">
        <f>R434</f>
        <v>104.4</v>
      </c>
      <c r="S433" s="591">
        <f>S434</f>
        <v>0</v>
      </c>
      <c r="T433" s="309">
        <f t="shared" si="135"/>
        <v>0</v>
      </c>
      <c r="U433" s="498">
        <f>U434</f>
        <v>255.8</v>
      </c>
      <c r="V433" s="498">
        <f>V434</f>
        <v>0</v>
      </c>
      <c r="W433" s="310">
        <f t="shared" si="123"/>
        <v>0</v>
      </c>
      <c r="X433" s="310">
        <f t="shared" si="124"/>
        <v>0</v>
      </c>
    </row>
    <row r="434" spans="1:24" ht="15" x14ac:dyDescent="0.2">
      <c r="A434" s="744" t="s">
        <v>834</v>
      </c>
      <c r="B434" s="243" t="s">
        <v>644</v>
      </c>
      <c r="C434" s="353" t="s">
        <v>608</v>
      </c>
      <c r="D434" s="353" t="s">
        <v>619</v>
      </c>
      <c r="E434" s="369">
        <v>8130282420</v>
      </c>
      <c r="F434" s="369" t="s">
        <v>634</v>
      </c>
      <c r="G434" s="288">
        <v>50</v>
      </c>
      <c r="H434" s="288"/>
      <c r="I434" s="288">
        <v>50</v>
      </c>
      <c r="J434" s="288"/>
      <c r="K434" s="43">
        <f t="shared" si="128"/>
        <v>0</v>
      </c>
      <c r="L434" s="43">
        <f t="shared" si="129"/>
        <v>0</v>
      </c>
      <c r="M434" s="217">
        <f t="shared" si="130"/>
        <v>0</v>
      </c>
      <c r="N434" s="43">
        <v>0</v>
      </c>
      <c r="R434" s="288">
        <v>104.4</v>
      </c>
      <c r="S434" s="288"/>
      <c r="T434" s="217">
        <f t="shared" si="135"/>
        <v>0</v>
      </c>
      <c r="U434" s="288">
        <f>204.6+51.2</f>
        <v>255.8</v>
      </c>
      <c r="V434" s="288">
        <v>0</v>
      </c>
      <c r="W434" s="203">
        <f t="shared" si="123"/>
        <v>0</v>
      </c>
      <c r="X434" s="203">
        <f t="shared" si="124"/>
        <v>0</v>
      </c>
    </row>
    <row r="435" spans="1:24" s="307" customFormat="1" ht="38.25" x14ac:dyDescent="0.2">
      <c r="A435" s="746" t="s">
        <v>1277</v>
      </c>
      <c r="B435" s="306" t="s">
        <v>644</v>
      </c>
      <c r="C435" s="354" t="s">
        <v>608</v>
      </c>
      <c r="D435" s="354" t="s">
        <v>619</v>
      </c>
      <c r="E435" s="450" t="s">
        <v>553</v>
      </c>
      <c r="F435" s="450"/>
      <c r="G435" s="591">
        <f>G436+G438</f>
        <v>211.10035999999999</v>
      </c>
      <c r="H435" s="591">
        <f>H436+H438</f>
        <v>0</v>
      </c>
      <c r="I435" s="591">
        <f>I436+I438</f>
        <v>398.54235999999997</v>
      </c>
      <c r="J435" s="591">
        <f>J436+J438</f>
        <v>0</v>
      </c>
      <c r="K435" s="591">
        <f t="shared" si="128"/>
        <v>187.44199999999998</v>
      </c>
      <c r="L435" s="591">
        <f t="shared" si="129"/>
        <v>0</v>
      </c>
      <c r="M435" s="217">
        <f t="shared" si="130"/>
        <v>0</v>
      </c>
      <c r="N435" s="292">
        <f>N436</f>
        <v>70</v>
      </c>
      <c r="R435" s="591">
        <f>R436+R438</f>
        <v>309.15829000000002</v>
      </c>
      <c r="S435" s="591">
        <f>S436+S438</f>
        <v>0</v>
      </c>
      <c r="T435" s="309">
        <f t="shared" si="135"/>
        <v>187.44199999999998</v>
      </c>
      <c r="U435" s="498">
        <f>U436+U438</f>
        <v>578.29999999999995</v>
      </c>
      <c r="V435" s="498">
        <f>V436+V438</f>
        <v>0</v>
      </c>
      <c r="W435" s="310">
        <f t="shared" ref="W435:W518" si="146">G435-I435</f>
        <v>-187.44199999999998</v>
      </c>
      <c r="X435" s="310">
        <f t="shared" ref="X435:X518" si="147">K435+W435</f>
        <v>0</v>
      </c>
    </row>
    <row r="436" spans="1:24" s="307" customFormat="1" ht="25.5" x14ac:dyDescent="0.2">
      <c r="A436" s="746" t="s">
        <v>230</v>
      </c>
      <c r="B436" s="306" t="s">
        <v>644</v>
      </c>
      <c r="C436" s="354" t="s">
        <v>608</v>
      </c>
      <c r="D436" s="354" t="s">
        <v>619</v>
      </c>
      <c r="E436" s="450">
        <v>8130382420</v>
      </c>
      <c r="F436" s="450"/>
      <c r="G436" s="591">
        <f>G437</f>
        <v>211.10035999999999</v>
      </c>
      <c r="H436" s="591">
        <f>H437</f>
        <v>0</v>
      </c>
      <c r="I436" s="591">
        <f>I437</f>
        <v>398.54235999999997</v>
      </c>
      <c r="J436" s="591">
        <f>J437</f>
        <v>0</v>
      </c>
      <c r="K436" s="591">
        <f t="shared" ref="K436:K502" si="148">I436-G436</f>
        <v>187.44199999999998</v>
      </c>
      <c r="L436" s="591">
        <f t="shared" ref="L436:L502" si="149">J436-H436</f>
        <v>0</v>
      </c>
      <c r="M436" s="217">
        <f t="shared" si="130"/>
        <v>0</v>
      </c>
      <c r="N436" s="292">
        <f>N437</f>
        <v>70</v>
      </c>
      <c r="R436" s="591">
        <f>R437</f>
        <v>309.15829000000002</v>
      </c>
      <c r="S436" s="591">
        <f>S437</f>
        <v>0</v>
      </c>
      <c r="T436" s="309">
        <f t="shared" si="135"/>
        <v>187.44199999999998</v>
      </c>
      <c r="U436" s="498">
        <f>U437</f>
        <v>578.29999999999995</v>
      </c>
      <c r="V436" s="498">
        <f>V437</f>
        <v>0</v>
      </c>
      <c r="W436" s="310">
        <f t="shared" si="146"/>
        <v>-187.44199999999998</v>
      </c>
      <c r="X436" s="310">
        <f t="shared" si="147"/>
        <v>0</v>
      </c>
    </row>
    <row r="437" spans="1:24" ht="15" x14ac:dyDescent="0.2">
      <c r="A437" s="739" t="s">
        <v>834</v>
      </c>
      <c r="B437" s="243" t="s">
        <v>644</v>
      </c>
      <c r="C437" s="353" t="s">
        <v>608</v>
      </c>
      <c r="D437" s="353" t="s">
        <v>619</v>
      </c>
      <c r="E437" s="369">
        <v>8130382420</v>
      </c>
      <c r="F437" s="369" t="s">
        <v>634</v>
      </c>
      <c r="G437" s="519">
        <v>211.10035999999999</v>
      </c>
      <c r="H437" s="288"/>
      <c r="I437" s="519">
        <v>398.54235999999997</v>
      </c>
      <c r="J437" s="288"/>
      <c r="K437" s="43">
        <f t="shared" si="148"/>
        <v>187.44199999999998</v>
      </c>
      <c r="L437" s="43">
        <f t="shared" si="149"/>
        <v>0</v>
      </c>
      <c r="M437" s="217">
        <f t="shared" si="130"/>
        <v>0</v>
      </c>
      <c r="N437" s="43">
        <v>70</v>
      </c>
      <c r="R437" s="519">
        <v>309.15829000000002</v>
      </c>
      <c r="S437" s="288"/>
      <c r="T437" s="217">
        <f t="shared" si="135"/>
        <v>187.44199999999998</v>
      </c>
      <c r="U437" s="288">
        <v>578.29999999999995</v>
      </c>
      <c r="V437" s="288">
        <v>0</v>
      </c>
      <c r="W437" s="203">
        <f t="shared" si="146"/>
        <v>-187.44199999999998</v>
      </c>
      <c r="X437" s="203">
        <f t="shared" si="147"/>
        <v>0</v>
      </c>
    </row>
    <row r="438" spans="1:24" s="307" customFormat="1" ht="25.5" hidden="1" customHeight="1" x14ac:dyDescent="0.2">
      <c r="A438" s="451" t="s">
        <v>930</v>
      </c>
      <c r="B438" s="306" t="s">
        <v>644</v>
      </c>
      <c r="C438" s="354" t="s">
        <v>608</v>
      </c>
      <c r="D438" s="354" t="s">
        <v>619</v>
      </c>
      <c r="E438" s="450" t="s">
        <v>735</v>
      </c>
      <c r="F438" s="450"/>
      <c r="G438" s="498">
        <f>G439</f>
        <v>0</v>
      </c>
      <c r="H438" s="498">
        <f>H439</f>
        <v>0</v>
      </c>
      <c r="I438" s="591">
        <f>I439</f>
        <v>0</v>
      </c>
      <c r="J438" s="591">
        <f>J439</f>
        <v>0</v>
      </c>
      <c r="K438" s="591">
        <f t="shared" si="148"/>
        <v>0</v>
      </c>
      <c r="L438" s="591">
        <f t="shared" si="149"/>
        <v>0</v>
      </c>
      <c r="M438" s="217">
        <f t="shared" si="130"/>
        <v>0</v>
      </c>
      <c r="N438" s="292"/>
      <c r="R438" s="591">
        <f>R439</f>
        <v>0</v>
      </c>
      <c r="S438" s="591">
        <f>S439</f>
        <v>0</v>
      </c>
      <c r="T438" s="309">
        <f t="shared" si="135"/>
        <v>0</v>
      </c>
      <c r="U438" s="498">
        <f>U439</f>
        <v>0</v>
      </c>
      <c r="V438" s="498">
        <f>V439</f>
        <v>0</v>
      </c>
      <c r="W438" s="310">
        <f t="shared" si="146"/>
        <v>0</v>
      </c>
      <c r="X438" s="310">
        <f t="shared" si="147"/>
        <v>0</v>
      </c>
    </row>
    <row r="439" spans="1:24" ht="17.25" hidden="1" customHeight="1" x14ac:dyDescent="0.2">
      <c r="A439" s="124" t="s">
        <v>834</v>
      </c>
      <c r="B439" s="243" t="s">
        <v>644</v>
      </c>
      <c r="C439" s="353" t="s">
        <v>608</v>
      </c>
      <c r="D439" s="353" t="s">
        <v>619</v>
      </c>
      <c r="E439" s="369" t="s">
        <v>735</v>
      </c>
      <c r="F439" s="369" t="s">
        <v>634</v>
      </c>
      <c r="G439" s="288">
        <v>0</v>
      </c>
      <c r="H439" s="288"/>
      <c r="I439" s="288">
        <v>0</v>
      </c>
      <c r="J439" s="288"/>
      <c r="K439" s="43">
        <f t="shared" si="148"/>
        <v>0</v>
      </c>
      <c r="L439" s="43">
        <f t="shared" si="149"/>
        <v>0</v>
      </c>
      <c r="M439" s="217">
        <f t="shared" si="130"/>
        <v>0</v>
      </c>
      <c r="N439" s="43"/>
      <c r="R439" s="288"/>
      <c r="S439" s="288"/>
      <c r="T439" s="217">
        <f t="shared" si="135"/>
        <v>0</v>
      </c>
      <c r="U439" s="288"/>
      <c r="V439" s="288"/>
      <c r="W439" s="203">
        <f t="shared" si="146"/>
        <v>0</v>
      </c>
      <c r="X439" s="203">
        <f t="shared" si="147"/>
        <v>0</v>
      </c>
    </row>
    <row r="440" spans="1:24" ht="17.25" customHeight="1" x14ac:dyDescent="0.2">
      <c r="A440" s="741" t="s">
        <v>1938</v>
      </c>
      <c r="B440" s="388" t="s">
        <v>644</v>
      </c>
      <c r="C440" s="389" t="s">
        <v>608</v>
      </c>
      <c r="D440" s="389" t="s">
        <v>619</v>
      </c>
      <c r="E440" s="390">
        <v>8130600000</v>
      </c>
      <c r="F440" s="390"/>
      <c r="G440" s="391">
        <f>G441</f>
        <v>21.24</v>
      </c>
      <c r="H440" s="391">
        <f t="shared" ref="H440:L441" si="150">H441</f>
        <v>0</v>
      </c>
      <c r="I440" s="391">
        <f t="shared" si="150"/>
        <v>21.24</v>
      </c>
      <c r="J440" s="391">
        <f t="shared" si="150"/>
        <v>0</v>
      </c>
      <c r="K440" s="391">
        <f t="shared" si="150"/>
        <v>0</v>
      </c>
      <c r="L440" s="391">
        <f t="shared" si="150"/>
        <v>0</v>
      </c>
      <c r="M440" s="217"/>
      <c r="N440" s="43"/>
      <c r="R440" s="288"/>
      <c r="S440" s="288"/>
      <c r="T440" s="217"/>
      <c r="U440" s="288"/>
      <c r="V440" s="288"/>
      <c r="W440" s="203"/>
      <c r="X440" s="203"/>
    </row>
    <row r="441" spans="1:24" ht="36" customHeight="1" x14ac:dyDescent="0.2">
      <c r="A441" s="741" t="s">
        <v>230</v>
      </c>
      <c r="B441" s="388" t="s">
        <v>644</v>
      </c>
      <c r="C441" s="389" t="s">
        <v>608</v>
      </c>
      <c r="D441" s="389" t="s">
        <v>619</v>
      </c>
      <c r="E441" s="390">
        <v>8130682420</v>
      </c>
      <c r="F441" s="390"/>
      <c r="G441" s="391">
        <f>G442</f>
        <v>21.24</v>
      </c>
      <c r="H441" s="391">
        <f t="shared" si="150"/>
        <v>0</v>
      </c>
      <c r="I441" s="391">
        <f t="shared" si="150"/>
        <v>21.24</v>
      </c>
      <c r="J441" s="391">
        <f t="shared" si="150"/>
        <v>0</v>
      </c>
      <c r="K441" s="391">
        <f t="shared" si="150"/>
        <v>0</v>
      </c>
      <c r="L441" s="391">
        <f t="shared" si="150"/>
        <v>0</v>
      </c>
      <c r="M441" s="217"/>
      <c r="N441" s="43"/>
      <c r="R441" s="288"/>
      <c r="S441" s="288"/>
      <c r="T441" s="217"/>
      <c r="U441" s="288"/>
      <c r="V441" s="288"/>
      <c r="W441" s="203"/>
      <c r="X441" s="203"/>
    </row>
    <row r="442" spans="1:24" ht="17.25" customHeight="1" x14ac:dyDescent="0.2">
      <c r="A442" s="744" t="s">
        <v>233</v>
      </c>
      <c r="B442" s="243" t="s">
        <v>644</v>
      </c>
      <c r="C442" s="353" t="s">
        <v>608</v>
      </c>
      <c r="D442" s="353" t="s">
        <v>619</v>
      </c>
      <c r="E442" s="369">
        <v>8130682420</v>
      </c>
      <c r="F442" s="369">
        <v>242</v>
      </c>
      <c r="G442" s="288">
        <v>21.24</v>
      </c>
      <c r="H442" s="288"/>
      <c r="I442" s="288">
        <v>21.24</v>
      </c>
      <c r="J442" s="288"/>
      <c r="K442" s="43">
        <f>I442-G442</f>
        <v>0</v>
      </c>
      <c r="L442" s="43">
        <f>J442-H442</f>
        <v>0</v>
      </c>
      <c r="M442" s="217"/>
      <c r="N442" s="43"/>
      <c r="R442" s="288"/>
      <c r="S442" s="288"/>
      <c r="T442" s="217"/>
      <c r="U442" s="288"/>
      <c r="V442" s="288"/>
      <c r="W442" s="203"/>
      <c r="X442" s="203"/>
    </row>
    <row r="443" spans="1:24" s="307" customFormat="1" ht="15" x14ac:dyDescent="0.2">
      <c r="A443" s="746" t="s">
        <v>1278</v>
      </c>
      <c r="B443" s="306" t="s">
        <v>644</v>
      </c>
      <c r="C443" s="354" t="s">
        <v>608</v>
      </c>
      <c r="D443" s="354" t="s">
        <v>619</v>
      </c>
      <c r="E443" s="450">
        <v>8160000000</v>
      </c>
      <c r="F443" s="450"/>
      <c r="G443" s="591">
        <f t="shared" ref="G443:J444" si="151">G444</f>
        <v>150</v>
      </c>
      <c r="H443" s="591">
        <f t="shared" si="151"/>
        <v>0</v>
      </c>
      <c r="I443" s="591">
        <f t="shared" si="151"/>
        <v>150</v>
      </c>
      <c r="J443" s="591">
        <f t="shared" si="151"/>
        <v>0</v>
      </c>
      <c r="K443" s="591">
        <f t="shared" si="148"/>
        <v>0</v>
      </c>
      <c r="L443" s="591">
        <f t="shared" si="149"/>
        <v>0</v>
      </c>
      <c r="M443" s="217">
        <f t="shared" si="130"/>
        <v>0</v>
      </c>
      <c r="N443" s="292"/>
      <c r="R443" s="591">
        <f>R444</f>
        <v>150</v>
      </c>
      <c r="S443" s="591">
        <f>S444</f>
        <v>0</v>
      </c>
      <c r="T443" s="309">
        <f t="shared" si="135"/>
        <v>0</v>
      </c>
      <c r="U443" s="498">
        <f t="shared" ref="U443:V445" si="152">U444</f>
        <v>0</v>
      </c>
      <c r="V443" s="498">
        <f t="shared" si="152"/>
        <v>0</v>
      </c>
      <c r="W443" s="310">
        <f t="shared" si="146"/>
        <v>0</v>
      </c>
      <c r="X443" s="310">
        <f t="shared" si="147"/>
        <v>0</v>
      </c>
    </row>
    <row r="444" spans="1:24" s="307" customFormat="1" ht="15" x14ac:dyDescent="0.2">
      <c r="A444" s="746" t="s">
        <v>1492</v>
      </c>
      <c r="B444" s="306" t="s">
        <v>644</v>
      </c>
      <c r="C444" s="354" t="s">
        <v>608</v>
      </c>
      <c r="D444" s="354" t="s">
        <v>619</v>
      </c>
      <c r="E444" s="450">
        <v>8160100000</v>
      </c>
      <c r="F444" s="450"/>
      <c r="G444" s="591">
        <f t="shared" si="151"/>
        <v>150</v>
      </c>
      <c r="H444" s="591">
        <f t="shared" si="151"/>
        <v>0</v>
      </c>
      <c r="I444" s="591">
        <f t="shared" si="151"/>
        <v>150</v>
      </c>
      <c r="J444" s="591">
        <f t="shared" si="151"/>
        <v>0</v>
      </c>
      <c r="K444" s="591">
        <f t="shared" si="148"/>
        <v>0</v>
      </c>
      <c r="L444" s="591">
        <f t="shared" si="149"/>
        <v>0</v>
      </c>
      <c r="M444" s="217">
        <f t="shared" si="130"/>
        <v>0</v>
      </c>
      <c r="N444" s="292"/>
      <c r="R444" s="591">
        <f>R445</f>
        <v>150</v>
      </c>
      <c r="S444" s="591">
        <f>S445</f>
        <v>0</v>
      </c>
      <c r="T444" s="309">
        <f t="shared" si="135"/>
        <v>0</v>
      </c>
      <c r="U444" s="498">
        <f t="shared" si="152"/>
        <v>0</v>
      </c>
      <c r="V444" s="498">
        <f t="shared" si="152"/>
        <v>0</v>
      </c>
      <c r="W444" s="310">
        <f t="shared" si="146"/>
        <v>0</v>
      </c>
      <c r="X444" s="310">
        <f t="shared" si="147"/>
        <v>0</v>
      </c>
    </row>
    <row r="445" spans="1:24" s="307" customFormat="1" ht="15" x14ac:dyDescent="0.2">
      <c r="A445" s="746" t="s">
        <v>1280</v>
      </c>
      <c r="B445" s="306" t="s">
        <v>644</v>
      </c>
      <c r="C445" s="354" t="s">
        <v>608</v>
      </c>
      <c r="D445" s="354" t="s">
        <v>619</v>
      </c>
      <c r="E445" s="450">
        <v>8160182910</v>
      </c>
      <c r="F445" s="450"/>
      <c r="G445" s="591">
        <f>G446+G447</f>
        <v>150</v>
      </c>
      <c r="H445" s="591">
        <f>H446+H447</f>
        <v>0</v>
      </c>
      <c r="I445" s="591">
        <f>I446+I447</f>
        <v>150</v>
      </c>
      <c r="J445" s="591">
        <f>J446+J447</f>
        <v>0</v>
      </c>
      <c r="K445" s="591">
        <f t="shared" si="148"/>
        <v>0</v>
      </c>
      <c r="L445" s="591">
        <f t="shared" si="149"/>
        <v>0</v>
      </c>
      <c r="M445" s="217">
        <f t="shared" si="130"/>
        <v>0</v>
      </c>
      <c r="N445" s="292"/>
      <c r="R445" s="591">
        <f>R446+R447</f>
        <v>150</v>
      </c>
      <c r="S445" s="591">
        <f>S446+S447</f>
        <v>0</v>
      </c>
      <c r="T445" s="309"/>
      <c r="U445" s="498">
        <f t="shared" si="152"/>
        <v>0</v>
      </c>
      <c r="V445" s="498">
        <f t="shared" si="152"/>
        <v>0</v>
      </c>
      <c r="W445" s="310"/>
      <c r="X445" s="310"/>
    </row>
    <row r="446" spans="1:24" ht="14.25" hidden="1" customHeight="1" x14ac:dyDescent="0.2">
      <c r="A446" s="124" t="s">
        <v>834</v>
      </c>
      <c r="B446" s="243" t="s">
        <v>644</v>
      </c>
      <c r="C446" s="353" t="s">
        <v>608</v>
      </c>
      <c r="D446" s="353" t="s">
        <v>619</v>
      </c>
      <c r="E446" s="369">
        <v>8160182910</v>
      </c>
      <c r="F446" s="369">
        <v>244</v>
      </c>
      <c r="G446" s="288"/>
      <c r="H446" s="288"/>
      <c r="I446" s="288"/>
      <c r="J446" s="288"/>
      <c r="K446" s="43">
        <f t="shared" si="148"/>
        <v>0</v>
      </c>
      <c r="L446" s="43">
        <f t="shared" si="149"/>
        <v>0</v>
      </c>
      <c r="M446" s="217">
        <f t="shared" si="130"/>
        <v>0</v>
      </c>
      <c r="N446" s="43"/>
      <c r="R446" s="288">
        <v>0</v>
      </c>
      <c r="S446" s="288">
        <v>0</v>
      </c>
      <c r="T446" s="217">
        <f t="shared" ref="T446:T488" si="153">I446-G446</f>
        <v>0</v>
      </c>
      <c r="U446" s="288">
        <v>0</v>
      </c>
      <c r="V446" s="288">
        <v>0</v>
      </c>
      <c r="W446" s="203">
        <f t="shared" si="146"/>
        <v>0</v>
      </c>
      <c r="X446" s="203">
        <f t="shared" si="147"/>
        <v>0</v>
      </c>
    </row>
    <row r="447" spans="1:24" ht="12.75" customHeight="1" x14ac:dyDescent="0.2">
      <c r="A447" s="744" t="s">
        <v>164</v>
      </c>
      <c r="B447" s="243" t="s">
        <v>644</v>
      </c>
      <c r="C447" s="353" t="s">
        <v>608</v>
      </c>
      <c r="D447" s="353" t="s">
        <v>619</v>
      </c>
      <c r="E447" s="369">
        <v>8160182910</v>
      </c>
      <c r="F447" s="369">
        <v>540</v>
      </c>
      <c r="G447" s="288">
        <v>150</v>
      </c>
      <c r="H447" s="288"/>
      <c r="I447" s="288">
        <v>150</v>
      </c>
      <c r="J447" s="288"/>
      <c r="K447" s="43">
        <f t="shared" si="148"/>
        <v>0</v>
      </c>
      <c r="L447" s="43">
        <f t="shared" si="149"/>
        <v>0</v>
      </c>
      <c r="M447" s="217"/>
      <c r="N447" s="43"/>
      <c r="R447" s="288">
        <v>150</v>
      </c>
      <c r="S447" s="288"/>
      <c r="T447" s="217"/>
      <c r="U447" s="288"/>
      <c r="V447" s="288"/>
      <c r="W447" s="203"/>
      <c r="X447" s="203"/>
    </row>
    <row r="448" spans="1:24" s="307" customFormat="1" ht="15.75" hidden="1" customHeight="1" x14ac:dyDescent="0.2">
      <c r="A448" s="451" t="s">
        <v>732</v>
      </c>
      <c r="B448" s="306" t="s">
        <v>644</v>
      </c>
      <c r="C448" s="354" t="s">
        <v>608</v>
      </c>
      <c r="D448" s="354" t="s">
        <v>619</v>
      </c>
      <c r="E448" s="450" t="s">
        <v>729</v>
      </c>
      <c r="F448" s="450"/>
      <c r="G448" s="498">
        <f>G449+G452+G458+G463+G455</f>
        <v>0</v>
      </c>
      <c r="H448" s="498">
        <f>H449+H452+H458+H463+H455</f>
        <v>0</v>
      </c>
      <c r="I448" s="591">
        <f>I449+I452+I458+I463+I455</f>
        <v>0</v>
      </c>
      <c r="J448" s="591">
        <f>J449+J452+J458+J463+J455</f>
        <v>0</v>
      </c>
      <c r="K448" s="591">
        <f t="shared" si="148"/>
        <v>0</v>
      </c>
      <c r="L448" s="591">
        <f t="shared" si="149"/>
        <v>0</v>
      </c>
      <c r="M448" s="217">
        <f t="shared" ref="M448:M515" si="154">I448-G448-K448</f>
        <v>0</v>
      </c>
      <c r="N448" s="292"/>
      <c r="R448" s="591">
        <f>R449+R452+R458+R463+R455</f>
        <v>0</v>
      </c>
      <c r="S448" s="591">
        <f>S449+S452+S458+S463+S455</f>
        <v>0</v>
      </c>
      <c r="T448" s="309">
        <f t="shared" si="153"/>
        <v>0</v>
      </c>
      <c r="U448" s="498">
        <f>U449+U452+U458+U463+U455</f>
        <v>0</v>
      </c>
      <c r="V448" s="498">
        <f>V449+V452+V458+V463+V455</f>
        <v>0</v>
      </c>
      <c r="W448" s="310">
        <f t="shared" si="146"/>
        <v>0</v>
      </c>
      <c r="X448" s="310">
        <f t="shared" si="147"/>
        <v>0</v>
      </c>
    </row>
    <row r="449" spans="1:24" s="307" customFormat="1" ht="16.5" hidden="1" customHeight="1" x14ac:dyDescent="0.2">
      <c r="A449" s="451" t="s">
        <v>743</v>
      </c>
      <c r="B449" s="306" t="s">
        <v>644</v>
      </c>
      <c r="C449" s="354" t="s">
        <v>608</v>
      </c>
      <c r="D449" s="354" t="s">
        <v>619</v>
      </c>
      <c r="E449" s="450" t="s">
        <v>736</v>
      </c>
      <c r="F449" s="450"/>
      <c r="G449" s="498">
        <f t="shared" ref="G449:J450" si="155">G450</f>
        <v>0</v>
      </c>
      <c r="H449" s="498">
        <f t="shared" si="155"/>
        <v>0</v>
      </c>
      <c r="I449" s="591">
        <f t="shared" si="155"/>
        <v>0</v>
      </c>
      <c r="J449" s="591">
        <f t="shared" si="155"/>
        <v>0</v>
      </c>
      <c r="K449" s="591">
        <f t="shared" si="148"/>
        <v>0</v>
      </c>
      <c r="L449" s="591">
        <f t="shared" si="149"/>
        <v>0</v>
      </c>
      <c r="M449" s="217">
        <f t="shared" si="154"/>
        <v>0</v>
      </c>
      <c r="N449" s="292"/>
      <c r="R449" s="591">
        <f>R450</f>
        <v>0</v>
      </c>
      <c r="S449" s="591">
        <f>S450</f>
        <v>0</v>
      </c>
      <c r="T449" s="309">
        <f t="shared" si="153"/>
        <v>0</v>
      </c>
      <c r="U449" s="498">
        <f>U450</f>
        <v>0</v>
      </c>
      <c r="V449" s="498">
        <f>V450</f>
        <v>0</v>
      </c>
      <c r="W449" s="310">
        <f t="shared" si="146"/>
        <v>0</v>
      </c>
      <c r="X449" s="310">
        <f t="shared" si="147"/>
        <v>0</v>
      </c>
    </row>
    <row r="450" spans="1:24" s="307" customFormat="1" ht="13.5" hidden="1" customHeight="1" x14ac:dyDescent="0.2">
      <c r="A450" s="539" t="s">
        <v>1436</v>
      </c>
      <c r="B450" s="306" t="s">
        <v>644</v>
      </c>
      <c r="C450" s="354" t="s">
        <v>608</v>
      </c>
      <c r="D450" s="354" t="s">
        <v>619</v>
      </c>
      <c r="E450" s="450" t="s">
        <v>737</v>
      </c>
      <c r="F450" s="450"/>
      <c r="G450" s="498">
        <f t="shared" si="155"/>
        <v>0</v>
      </c>
      <c r="H450" s="498">
        <f t="shared" si="155"/>
        <v>0</v>
      </c>
      <c r="I450" s="591">
        <f t="shared" si="155"/>
        <v>0</v>
      </c>
      <c r="J450" s="591">
        <f t="shared" si="155"/>
        <v>0</v>
      </c>
      <c r="K450" s="591">
        <f t="shared" si="148"/>
        <v>0</v>
      </c>
      <c r="L450" s="591">
        <f t="shared" si="149"/>
        <v>0</v>
      </c>
      <c r="M450" s="217">
        <f t="shared" si="154"/>
        <v>0</v>
      </c>
      <c r="N450" s="292"/>
      <c r="R450" s="591">
        <f>R451</f>
        <v>0</v>
      </c>
      <c r="S450" s="591">
        <f>S451</f>
        <v>0</v>
      </c>
      <c r="T450" s="309">
        <f t="shared" si="153"/>
        <v>0</v>
      </c>
      <c r="U450" s="498">
        <f>U451</f>
        <v>0</v>
      </c>
      <c r="V450" s="498">
        <f>V451</f>
        <v>0</v>
      </c>
      <c r="W450" s="310">
        <f t="shared" si="146"/>
        <v>0</v>
      </c>
      <c r="X450" s="310">
        <f t="shared" si="147"/>
        <v>0</v>
      </c>
    </row>
    <row r="451" spans="1:24" ht="14.25" hidden="1" customHeight="1" x14ac:dyDescent="0.2">
      <c r="A451" s="124" t="s">
        <v>834</v>
      </c>
      <c r="B451" s="243" t="s">
        <v>644</v>
      </c>
      <c r="C451" s="353" t="s">
        <v>608</v>
      </c>
      <c r="D451" s="353" t="s">
        <v>619</v>
      </c>
      <c r="E451" s="369" t="s">
        <v>737</v>
      </c>
      <c r="F451" s="369" t="s">
        <v>634</v>
      </c>
      <c r="G451" s="288">
        <v>0</v>
      </c>
      <c r="H451" s="288"/>
      <c r="I451" s="288">
        <v>0</v>
      </c>
      <c r="J451" s="288"/>
      <c r="K451" s="43">
        <f t="shared" si="148"/>
        <v>0</v>
      </c>
      <c r="L451" s="43">
        <f t="shared" si="149"/>
        <v>0</v>
      </c>
      <c r="M451" s="217">
        <f t="shared" si="154"/>
        <v>0</v>
      </c>
      <c r="N451" s="43"/>
      <c r="R451" s="288">
        <v>0</v>
      </c>
      <c r="S451" s="288"/>
      <c r="T451" s="217">
        <f t="shared" si="153"/>
        <v>0</v>
      </c>
      <c r="U451" s="288">
        <v>0</v>
      </c>
      <c r="V451" s="288"/>
      <c r="W451" s="203">
        <f t="shared" si="146"/>
        <v>0</v>
      </c>
      <c r="X451" s="203">
        <f t="shared" si="147"/>
        <v>0</v>
      </c>
    </row>
    <row r="452" spans="1:24" s="307" customFormat="1" ht="13.5" hidden="1" customHeight="1" x14ac:dyDescent="0.2">
      <c r="A452" s="451" t="s">
        <v>744</v>
      </c>
      <c r="B452" s="306" t="s">
        <v>644</v>
      </c>
      <c r="C452" s="354" t="s">
        <v>608</v>
      </c>
      <c r="D452" s="354" t="s">
        <v>619</v>
      </c>
      <c r="E452" s="450" t="s">
        <v>740</v>
      </c>
      <c r="F452" s="450"/>
      <c r="G452" s="498">
        <f t="shared" ref="G452:J453" si="156">G453</f>
        <v>0</v>
      </c>
      <c r="H452" s="498">
        <f t="shared" si="156"/>
        <v>0</v>
      </c>
      <c r="I452" s="591">
        <f t="shared" si="156"/>
        <v>0</v>
      </c>
      <c r="J452" s="591">
        <f t="shared" si="156"/>
        <v>0</v>
      </c>
      <c r="K452" s="591">
        <f t="shared" si="148"/>
        <v>0</v>
      </c>
      <c r="L452" s="591">
        <f t="shared" si="149"/>
        <v>0</v>
      </c>
      <c r="M452" s="217">
        <f t="shared" si="154"/>
        <v>0</v>
      </c>
      <c r="N452" s="292"/>
      <c r="R452" s="591">
        <f>R453</f>
        <v>0</v>
      </c>
      <c r="S452" s="591">
        <f>S453</f>
        <v>0</v>
      </c>
      <c r="T452" s="309">
        <f t="shared" si="153"/>
        <v>0</v>
      </c>
      <c r="U452" s="498">
        <f>U453</f>
        <v>0</v>
      </c>
      <c r="V452" s="498">
        <f>V453</f>
        <v>0</v>
      </c>
      <c r="W452" s="310">
        <f t="shared" si="146"/>
        <v>0</v>
      </c>
      <c r="X452" s="310">
        <f t="shared" si="147"/>
        <v>0</v>
      </c>
    </row>
    <row r="453" spans="1:24" s="307" customFormat="1" ht="15.75" hidden="1" customHeight="1" x14ac:dyDescent="0.2">
      <c r="A453" s="539" t="s">
        <v>1436</v>
      </c>
      <c r="B453" s="306" t="s">
        <v>644</v>
      </c>
      <c r="C453" s="354" t="s">
        <v>608</v>
      </c>
      <c r="D453" s="354" t="s">
        <v>619</v>
      </c>
      <c r="E453" s="450" t="s">
        <v>738</v>
      </c>
      <c r="F453" s="450"/>
      <c r="G453" s="498">
        <f t="shared" si="156"/>
        <v>0</v>
      </c>
      <c r="H453" s="498">
        <f t="shared" si="156"/>
        <v>0</v>
      </c>
      <c r="I453" s="591">
        <f t="shared" si="156"/>
        <v>0</v>
      </c>
      <c r="J453" s="591">
        <f t="shared" si="156"/>
        <v>0</v>
      </c>
      <c r="K453" s="591">
        <f t="shared" si="148"/>
        <v>0</v>
      </c>
      <c r="L453" s="591">
        <f t="shared" si="149"/>
        <v>0</v>
      </c>
      <c r="M453" s="217">
        <f t="shared" si="154"/>
        <v>0</v>
      </c>
      <c r="N453" s="292"/>
      <c r="R453" s="591">
        <f>R454</f>
        <v>0</v>
      </c>
      <c r="S453" s="591">
        <f>S454</f>
        <v>0</v>
      </c>
      <c r="T453" s="309">
        <f t="shared" si="153"/>
        <v>0</v>
      </c>
      <c r="U453" s="498">
        <f>U454</f>
        <v>0</v>
      </c>
      <c r="V453" s="498">
        <f>V454</f>
        <v>0</v>
      </c>
      <c r="W453" s="310">
        <f t="shared" si="146"/>
        <v>0</v>
      </c>
      <c r="X453" s="310">
        <f t="shared" si="147"/>
        <v>0</v>
      </c>
    </row>
    <row r="454" spans="1:24" ht="9.75" hidden="1" customHeight="1" x14ac:dyDescent="0.2">
      <c r="A454" s="124" t="s">
        <v>834</v>
      </c>
      <c r="B454" s="243" t="s">
        <v>644</v>
      </c>
      <c r="C454" s="353" t="s">
        <v>608</v>
      </c>
      <c r="D454" s="353" t="s">
        <v>619</v>
      </c>
      <c r="E454" s="369" t="s">
        <v>738</v>
      </c>
      <c r="F454" s="369" t="s">
        <v>634</v>
      </c>
      <c r="G454" s="288">
        <v>0</v>
      </c>
      <c r="H454" s="288"/>
      <c r="I454" s="288">
        <v>0</v>
      </c>
      <c r="J454" s="288"/>
      <c r="K454" s="43">
        <f t="shared" si="148"/>
        <v>0</v>
      </c>
      <c r="L454" s="43">
        <f t="shared" si="149"/>
        <v>0</v>
      </c>
      <c r="M454" s="217">
        <f t="shared" si="154"/>
        <v>0</v>
      </c>
      <c r="N454" s="43"/>
      <c r="R454" s="288">
        <v>0</v>
      </c>
      <c r="S454" s="288"/>
      <c r="T454" s="217">
        <f t="shared" si="153"/>
        <v>0</v>
      </c>
      <c r="U454" s="288">
        <v>0</v>
      </c>
      <c r="V454" s="288"/>
      <c r="W454" s="203">
        <f t="shared" si="146"/>
        <v>0</v>
      </c>
      <c r="X454" s="203">
        <f t="shared" si="147"/>
        <v>0</v>
      </c>
    </row>
    <row r="455" spans="1:24" s="307" customFormat="1" ht="18" hidden="1" customHeight="1" x14ac:dyDescent="0.2">
      <c r="A455" s="451" t="s">
        <v>824</v>
      </c>
      <c r="B455" s="306" t="s">
        <v>644</v>
      </c>
      <c r="C455" s="354" t="s">
        <v>608</v>
      </c>
      <c r="D455" s="354" t="s">
        <v>619</v>
      </c>
      <c r="E455" s="450" t="s">
        <v>746</v>
      </c>
      <c r="F455" s="450"/>
      <c r="G455" s="498">
        <f t="shared" ref="G455:J456" si="157">G456</f>
        <v>0</v>
      </c>
      <c r="H455" s="498">
        <f t="shared" si="157"/>
        <v>0</v>
      </c>
      <c r="I455" s="591">
        <f t="shared" si="157"/>
        <v>0</v>
      </c>
      <c r="J455" s="591">
        <f t="shared" si="157"/>
        <v>0</v>
      </c>
      <c r="K455" s="591">
        <f t="shared" si="148"/>
        <v>0</v>
      </c>
      <c r="L455" s="591">
        <f t="shared" si="149"/>
        <v>0</v>
      </c>
      <c r="M455" s="217">
        <f t="shared" si="154"/>
        <v>0</v>
      </c>
      <c r="N455" s="292"/>
      <c r="R455" s="591">
        <f>R456</f>
        <v>0</v>
      </c>
      <c r="S455" s="591">
        <f>S456</f>
        <v>0</v>
      </c>
      <c r="T455" s="309">
        <f t="shared" si="153"/>
        <v>0</v>
      </c>
      <c r="U455" s="498">
        <f>U456</f>
        <v>0</v>
      </c>
      <c r="V455" s="498">
        <f>V456</f>
        <v>0</v>
      </c>
      <c r="W455" s="310">
        <f t="shared" si="146"/>
        <v>0</v>
      </c>
      <c r="X455" s="310">
        <f t="shared" si="147"/>
        <v>0</v>
      </c>
    </row>
    <row r="456" spans="1:24" s="307" customFormat="1" ht="10.5" hidden="1" customHeight="1" x14ac:dyDescent="0.2">
      <c r="A456" s="539" t="s">
        <v>1436</v>
      </c>
      <c r="B456" s="306" t="s">
        <v>644</v>
      </c>
      <c r="C456" s="354" t="s">
        <v>608</v>
      </c>
      <c r="D456" s="354" t="s">
        <v>619</v>
      </c>
      <c r="E456" s="450" t="s">
        <v>747</v>
      </c>
      <c r="F456" s="450"/>
      <c r="G456" s="498">
        <f t="shared" si="157"/>
        <v>0</v>
      </c>
      <c r="H456" s="498">
        <f t="shared" si="157"/>
        <v>0</v>
      </c>
      <c r="I456" s="591">
        <f t="shared" si="157"/>
        <v>0</v>
      </c>
      <c r="J456" s="591">
        <f t="shared" si="157"/>
        <v>0</v>
      </c>
      <c r="K456" s="591">
        <f t="shared" si="148"/>
        <v>0</v>
      </c>
      <c r="L456" s="591">
        <f t="shared" si="149"/>
        <v>0</v>
      </c>
      <c r="M456" s="217">
        <f t="shared" si="154"/>
        <v>0</v>
      </c>
      <c r="N456" s="292"/>
      <c r="R456" s="591">
        <f>R457</f>
        <v>0</v>
      </c>
      <c r="S456" s="591">
        <f>S457</f>
        <v>0</v>
      </c>
      <c r="T456" s="309">
        <f t="shared" si="153"/>
        <v>0</v>
      </c>
      <c r="U456" s="498">
        <f>U457</f>
        <v>0</v>
      </c>
      <c r="V456" s="498">
        <f>V457</f>
        <v>0</v>
      </c>
      <c r="W456" s="310">
        <f t="shared" si="146"/>
        <v>0</v>
      </c>
      <c r="X456" s="310">
        <f t="shared" si="147"/>
        <v>0</v>
      </c>
    </row>
    <row r="457" spans="1:24" ht="11.25" hidden="1" customHeight="1" x14ac:dyDescent="0.2">
      <c r="A457" s="124" t="s">
        <v>834</v>
      </c>
      <c r="B457" s="243" t="s">
        <v>644</v>
      </c>
      <c r="C457" s="353" t="s">
        <v>608</v>
      </c>
      <c r="D457" s="353" t="s">
        <v>619</v>
      </c>
      <c r="E457" s="369" t="s">
        <v>747</v>
      </c>
      <c r="F457" s="369" t="s">
        <v>634</v>
      </c>
      <c r="G457" s="288"/>
      <c r="H457" s="288"/>
      <c r="I457" s="288"/>
      <c r="J457" s="288"/>
      <c r="K457" s="43">
        <f t="shared" si="148"/>
        <v>0</v>
      </c>
      <c r="L457" s="43">
        <f t="shared" si="149"/>
        <v>0</v>
      </c>
      <c r="M457" s="217">
        <f t="shared" si="154"/>
        <v>0</v>
      </c>
      <c r="N457" s="43"/>
      <c r="R457" s="288"/>
      <c r="S457" s="288"/>
      <c r="T457" s="217">
        <f t="shared" si="153"/>
        <v>0</v>
      </c>
      <c r="U457" s="288"/>
      <c r="V457" s="288"/>
      <c r="W457" s="203">
        <f t="shared" si="146"/>
        <v>0</v>
      </c>
      <c r="X457" s="203">
        <f t="shared" si="147"/>
        <v>0</v>
      </c>
    </row>
    <row r="458" spans="1:24" s="307" customFormat="1" ht="13.5" hidden="1" customHeight="1" x14ac:dyDescent="0.2">
      <c r="A458" s="451" t="s">
        <v>364</v>
      </c>
      <c r="B458" s="306" t="s">
        <v>644</v>
      </c>
      <c r="C458" s="354" t="s">
        <v>608</v>
      </c>
      <c r="D458" s="354" t="s">
        <v>619</v>
      </c>
      <c r="E458" s="450" t="s">
        <v>739</v>
      </c>
      <c r="F458" s="450"/>
      <c r="G458" s="498">
        <f>G459+G461</f>
        <v>0</v>
      </c>
      <c r="H458" s="498">
        <f>H459+H461</f>
        <v>0</v>
      </c>
      <c r="I458" s="591">
        <f>I459+I461</f>
        <v>0</v>
      </c>
      <c r="J458" s="591">
        <f>J459+J461</f>
        <v>0</v>
      </c>
      <c r="K458" s="591">
        <f t="shared" si="148"/>
        <v>0</v>
      </c>
      <c r="L458" s="591">
        <f t="shared" si="149"/>
        <v>0</v>
      </c>
      <c r="M458" s="217">
        <f t="shared" si="154"/>
        <v>0</v>
      </c>
      <c r="N458" s="292"/>
      <c r="R458" s="591">
        <f>R459+R461</f>
        <v>0</v>
      </c>
      <c r="S458" s="591">
        <f>S459+S461</f>
        <v>0</v>
      </c>
      <c r="T458" s="309">
        <f t="shared" si="153"/>
        <v>0</v>
      </c>
      <c r="U458" s="498">
        <f>U459+U461</f>
        <v>0</v>
      </c>
      <c r="V458" s="498">
        <f>V459+V461</f>
        <v>0</v>
      </c>
      <c r="W458" s="310">
        <f t="shared" si="146"/>
        <v>0</v>
      </c>
      <c r="X458" s="310">
        <f t="shared" si="147"/>
        <v>0</v>
      </c>
    </row>
    <row r="459" spans="1:24" s="307" customFormat="1" ht="11.25" hidden="1" customHeight="1" x14ac:dyDescent="0.2">
      <c r="A459" s="451" t="s">
        <v>734</v>
      </c>
      <c r="B459" s="306" t="s">
        <v>644</v>
      </c>
      <c r="C459" s="354" t="s">
        <v>608</v>
      </c>
      <c r="D459" s="354" t="s">
        <v>619</v>
      </c>
      <c r="E459" s="450" t="s">
        <v>741</v>
      </c>
      <c r="F459" s="450"/>
      <c r="G459" s="498">
        <f>G460</f>
        <v>0</v>
      </c>
      <c r="H459" s="498">
        <f>H460</f>
        <v>0</v>
      </c>
      <c r="I459" s="591">
        <f>I460</f>
        <v>0</v>
      </c>
      <c r="J459" s="591">
        <f>J460</f>
        <v>0</v>
      </c>
      <c r="K459" s="591">
        <f t="shared" si="148"/>
        <v>0</v>
      </c>
      <c r="L459" s="591">
        <f t="shared" si="149"/>
        <v>0</v>
      </c>
      <c r="M459" s="217">
        <f t="shared" si="154"/>
        <v>0</v>
      </c>
      <c r="N459" s="292"/>
      <c r="R459" s="591">
        <f>R460</f>
        <v>0</v>
      </c>
      <c r="S459" s="591">
        <f>S460</f>
        <v>0</v>
      </c>
      <c r="T459" s="309">
        <f t="shared" si="153"/>
        <v>0</v>
      </c>
      <c r="U459" s="498">
        <f>U460</f>
        <v>0</v>
      </c>
      <c r="V459" s="498">
        <f>V460</f>
        <v>0</v>
      </c>
      <c r="W459" s="310">
        <f t="shared" si="146"/>
        <v>0</v>
      </c>
      <c r="X459" s="310">
        <f t="shared" si="147"/>
        <v>0</v>
      </c>
    </row>
    <row r="460" spans="1:24" ht="16.5" hidden="1" customHeight="1" x14ac:dyDescent="0.2">
      <c r="A460" s="124" t="s">
        <v>834</v>
      </c>
      <c r="B460" s="243" t="s">
        <v>644</v>
      </c>
      <c r="C460" s="353" t="s">
        <v>608</v>
      </c>
      <c r="D460" s="353" t="s">
        <v>619</v>
      </c>
      <c r="E460" s="369" t="s">
        <v>741</v>
      </c>
      <c r="F460" s="369" t="s">
        <v>634</v>
      </c>
      <c r="G460" s="288">
        <v>0</v>
      </c>
      <c r="H460" s="288"/>
      <c r="I460" s="288">
        <v>0</v>
      </c>
      <c r="J460" s="288"/>
      <c r="K460" s="43">
        <f t="shared" si="148"/>
        <v>0</v>
      </c>
      <c r="L460" s="43">
        <f t="shared" si="149"/>
        <v>0</v>
      </c>
      <c r="M460" s="217">
        <f t="shared" si="154"/>
        <v>0</v>
      </c>
      <c r="N460" s="43"/>
      <c r="R460" s="288">
        <v>0</v>
      </c>
      <c r="S460" s="288"/>
      <c r="T460" s="217">
        <f t="shared" si="153"/>
        <v>0</v>
      </c>
      <c r="U460" s="288">
        <v>0</v>
      </c>
      <c r="V460" s="288"/>
      <c r="W460" s="203">
        <f t="shared" si="146"/>
        <v>0</v>
      </c>
      <c r="X460" s="203">
        <f t="shared" si="147"/>
        <v>0</v>
      </c>
    </row>
    <row r="461" spans="1:24" s="307" customFormat="1" ht="12" hidden="1" customHeight="1" x14ac:dyDescent="0.2">
      <c r="A461" s="539" t="s">
        <v>1436</v>
      </c>
      <c r="B461" s="306" t="s">
        <v>644</v>
      </c>
      <c r="C461" s="354" t="s">
        <v>608</v>
      </c>
      <c r="D461" s="354" t="s">
        <v>619</v>
      </c>
      <c r="E461" s="450" t="s">
        <v>825</v>
      </c>
      <c r="F461" s="450"/>
      <c r="G461" s="498">
        <f>G462</f>
        <v>0</v>
      </c>
      <c r="H461" s="498">
        <f>H462</f>
        <v>0</v>
      </c>
      <c r="I461" s="591">
        <f>I462</f>
        <v>0</v>
      </c>
      <c r="J461" s="591">
        <f>J462</f>
        <v>0</v>
      </c>
      <c r="K461" s="591">
        <f t="shared" si="148"/>
        <v>0</v>
      </c>
      <c r="L461" s="591">
        <f t="shared" si="149"/>
        <v>0</v>
      </c>
      <c r="M461" s="217">
        <f t="shared" si="154"/>
        <v>0</v>
      </c>
      <c r="N461" s="292"/>
      <c r="R461" s="591">
        <f>R462</f>
        <v>0</v>
      </c>
      <c r="S461" s="591">
        <f>S462</f>
        <v>0</v>
      </c>
      <c r="T461" s="309">
        <f t="shared" si="153"/>
        <v>0</v>
      </c>
      <c r="U461" s="498">
        <f>U462</f>
        <v>0</v>
      </c>
      <c r="V461" s="498">
        <f>V462</f>
        <v>0</v>
      </c>
      <c r="W461" s="310">
        <f t="shared" si="146"/>
        <v>0</v>
      </c>
      <c r="X461" s="310">
        <f t="shared" si="147"/>
        <v>0</v>
      </c>
    </row>
    <row r="462" spans="1:24" ht="10.5" hidden="1" customHeight="1" x14ac:dyDescent="0.2">
      <c r="A462" s="124" t="s">
        <v>834</v>
      </c>
      <c r="B462" s="243" t="s">
        <v>644</v>
      </c>
      <c r="C462" s="353" t="s">
        <v>608</v>
      </c>
      <c r="D462" s="353" t="s">
        <v>619</v>
      </c>
      <c r="E462" s="369" t="s">
        <v>825</v>
      </c>
      <c r="F462" s="369" t="s">
        <v>634</v>
      </c>
      <c r="G462" s="288"/>
      <c r="H462" s="288"/>
      <c r="I462" s="288"/>
      <c r="J462" s="288"/>
      <c r="K462" s="43">
        <f t="shared" si="148"/>
        <v>0</v>
      </c>
      <c r="L462" s="43">
        <f t="shared" si="149"/>
        <v>0</v>
      </c>
      <c r="M462" s="217">
        <f t="shared" si="154"/>
        <v>0</v>
      </c>
      <c r="N462" s="43"/>
      <c r="R462" s="288"/>
      <c r="S462" s="288"/>
      <c r="T462" s="217">
        <f t="shared" si="153"/>
        <v>0</v>
      </c>
      <c r="U462" s="288"/>
      <c r="V462" s="288"/>
      <c r="W462" s="203">
        <f t="shared" si="146"/>
        <v>0</v>
      </c>
      <c r="X462" s="203">
        <f t="shared" si="147"/>
        <v>0</v>
      </c>
    </row>
    <row r="463" spans="1:24" s="307" customFormat="1" ht="14.25" hidden="1" customHeight="1" x14ac:dyDescent="0.2">
      <c r="A463" s="451" t="s">
        <v>745</v>
      </c>
      <c r="B463" s="306" t="s">
        <v>644</v>
      </c>
      <c r="C463" s="354" t="s">
        <v>608</v>
      </c>
      <c r="D463" s="354" t="s">
        <v>619</v>
      </c>
      <c r="E463" s="450" t="s">
        <v>742</v>
      </c>
      <c r="F463" s="450"/>
      <c r="G463" s="498">
        <f t="shared" ref="G463:J464" si="158">G464</f>
        <v>0</v>
      </c>
      <c r="H463" s="498">
        <f t="shared" si="158"/>
        <v>0</v>
      </c>
      <c r="I463" s="591">
        <f t="shared" si="158"/>
        <v>0</v>
      </c>
      <c r="J463" s="591">
        <f t="shared" si="158"/>
        <v>0</v>
      </c>
      <c r="K463" s="591">
        <f t="shared" si="148"/>
        <v>0</v>
      </c>
      <c r="L463" s="591">
        <f t="shared" si="149"/>
        <v>0</v>
      </c>
      <c r="M463" s="217">
        <f t="shared" si="154"/>
        <v>0</v>
      </c>
      <c r="N463" s="292"/>
      <c r="R463" s="591">
        <f>R464</f>
        <v>0</v>
      </c>
      <c r="S463" s="591">
        <f>S464</f>
        <v>0</v>
      </c>
      <c r="T463" s="309">
        <f t="shared" si="153"/>
        <v>0</v>
      </c>
      <c r="U463" s="498">
        <f>U464</f>
        <v>0</v>
      </c>
      <c r="V463" s="498">
        <f>V464</f>
        <v>0</v>
      </c>
      <c r="W463" s="310">
        <f t="shared" si="146"/>
        <v>0</v>
      </c>
      <c r="X463" s="310">
        <f t="shared" si="147"/>
        <v>0</v>
      </c>
    </row>
    <row r="464" spans="1:24" s="307" customFormat="1" ht="12" hidden="1" customHeight="1" x14ac:dyDescent="0.2">
      <c r="A464" s="451" t="s">
        <v>734</v>
      </c>
      <c r="B464" s="306" t="s">
        <v>644</v>
      </c>
      <c r="C464" s="354" t="s">
        <v>608</v>
      </c>
      <c r="D464" s="354" t="s">
        <v>619</v>
      </c>
      <c r="E464" s="450" t="s">
        <v>1010</v>
      </c>
      <c r="F464" s="450"/>
      <c r="G464" s="498">
        <f t="shared" si="158"/>
        <v>0</v>
      </c>
      <c r="H464" s="498">
        <f t="shared" si="158"/>
        <v>0</v>
      </c>
      <c r="I464" s="591">
        <f t="shared" si="158"/>
        <v>0</v>
      </c>
      <c r="J464" s="591">
        <f t="shared" si="158"/>
        <v>0</v>
      </c>
      <c r="K464" s="591">
        <f t="shared" si="148"/>
        <v>0</v>
      </c>
      <c r="L464" s="591">
        <f t="shared" si="149"/>
        <v>0</v>
      </c>
      <c r="M464" s="217">
        <f t="shared" si="154"/>
        <v>0</v>
      </c>
      <c r="N464" s="292"/>
      <c r="R464" s="591">
        <f>R465</f>
        <v>0</v>
      </c>
      <c r="S464" s="591">
        <f>S465</f>
        <v>0</v>
      </c>
      <c r="T464" s="309">
        <f t="shared" si="153"/>
        <v>0</v>
      </c>
      <c r="U464" s="498">
        <f>U465</f>
        <v>0</v>
      </c>
      <c r="V464" s="498">
        <f>V465</f>
        <v>0</v>
      </c>
      <c r="W464" s="310">
        <f t="shared" si="146"/>
        <v>0</v>
      </c>
      <c r="X464" s="310">
        <f t="shared" si="147"/>
        <v>0</v>
      </c>
    </row>
    <row r="465" spans="1:24" ht="8.25" hidden="1" customHeight="1" x14ac:dyDescent="0.2">
      <c r="A465" s="124" t="s">
        <v>834</v>
      </c>
      <c r="B465" s="243" t="s">
        <v>644</v>
      </c>
      <c r="C465" s="353" t="s">
        <v>608</v>
      </c>
      <c r="D465" s="353" t="s">
        <v>619</v>
      </c>
      <c r="E465" s="369" t="s">
        <v>1010</v>
      </c>
      <c r="F465" s="369" t="s">
        <v>634</v>
      </c>
      <c r="G465" s="288"/>
      <c r="H465" s="288"/>
      <c r="I465" s="288"/>
      <c r="J465" s="288"/>
      <c r="K465" s="43">
        <f t="shared" si="148"/>
        <v>0</v>
      </c>
      <c r="L465" s="43">
        <f t="shared" si="149"/>
        <v>0</v>
      </c>
      <c r="M465" s="217">
        <f t="shared" si="154"/>
        <v>0</v>
      </c>
      <c r="N465" s="43"/>
      <c r="R465" s="288"/>
      <c r="S465" s="288"/>
      <c r="T465" s="217">
        <f t="shared" si="153"/>
        <v>0</v>
      </c>
      <c r="U465" s="288">
        <v>0</v>
      </c>
      <c r="V465" s="288"/>
      <c r="W465" s="203">
        <f t="shared" si="146"/>
        <v>0</v>
      </c>
      <c r="X465" s="203">
        <f t="shared" si="147"/>
        <v>0</v>
      </c>
    </row>
    <row r="466" spans="1:24" s="307" customFormat="1" ht="13.5" hidden="1" customHeight="1" x14ac:dyDescent="0.2">
      <c r="A466" s="451" t="s">
        <v>65</v>
      </c>
      <c r="B466" s="306" t="s">
        <v>644</v>
      </c>
      <c r="C466" s="354" t="s">
        <v>608</v>
      </c>
      <c r="D466" s="354" t="s">
        <v>619</v>
      </c>
      <c r="E466" s="450" t="s">
        <v>312</v>
      </c>
      <c r="F466" s="450"/>
      <c r="G466" s="498">
        <f t="shared" ref="G466:J467" si="159">G467</f>
        <v>0</v>
      </c>
      <c r="H466" s="498">
        <f t="shared" si="159"/>
        <v>0</v>
      </c>
      <c r="I466" s="591">
        <f t="shared" si="159"/>
        <v>0</v>
      </c>
      <c r="J466" s="591">
        <f t="shared" si="159"/>
        <v>0</v>
      </c>
      <c r="K466" s="591">
        <f t="shared" si="148"/>
        <v>0</v>
      </c>
      <c r="L466" s="591">
        <f t="shared" si="149"/>
        <v>0</v>
      </c>
      <c r="M466" s="217">
        <f t="shared" si="154"/>
        <v>0</v>
      </c>
      <c r="N466" s="292" t="e">
        <f>#REF!</f>
        <v>#REF!</v>
      </c>
      <c r="R466" s="591">
        <f>R467</f>
        <v>0</v>
      </c>
      <c r="S466" s="591">
        <f>S467</f>
        <v>0</v>
      </c>
      <c r="T466" s="309">
        <f t="shared" si="153"/>
        <v>0</v>
      </c>
      <c r="U466" s="498">
        <f>U467</f>
        <v>0</v>
      </c>
      <c r="V466" s="498">
        <f>V467</f>
        <v>0</v>
      </c>
      <c r="W466" s="310">
        <f t="shared" si="146"/>
        <v>0</v>
      </c>
      <c r="X466" s="310">
        <f t="shared" si="147"/>
        <v>0</v>
      </c>
    </row>
    <row r="467" spans="1:24" s="307" customFormat="1" ht="10.5" hidden="1" customHeight="1" x14ac:dyDescent="0.2">
      <c r="A467" s="539" t="s">
        <v>1438</v>
      </c>
      <c r="B467" s="306" t="s">
        <v>644</v>
      </c>
      <c r="C467" s="354" t="s">
        <v>608</v>
      </c>
      <c r="D467" s="354" t="s">
        <v>619</v>
      </c>
      <c r="E467" s="540" t="s">
        <v>1437</v>
      </c>
      <c r="F467" s="450"/>
      <c r="G467" s="498">
        <f t="shared" si="159"/>
        <v>0</v>
      </c>
      <c r="H467" s="498">
        <f t="shared" si="159"/>
        <v>0</v>
      </c>
      <c r="I467" s="591">
        <f t="shared" si="159"/>
        <v>0</v>
      </c>
      <c r="J467" s="591">
        <f t="shared" si="159"/>
        <v>0</v>
      </c>
      <c r="K467" s="591">
        <f t="shared" si="148"/>
        <v>0</v>
      </c>
      <c r="L467" s="591">
        <f t="shared" si="149"/>
        <v>0</v>
      </c>
      <c r="M467" s="217">
        <f t="shared" si="154"/>
        <v>0</v>
      </c>
      <c r="N467" s="292"/>
      <c r="R467" s="591">
        <f>R468</f>
        <v>0</v>
      </c>
      <c r="S467" s="591">
        <f>S468</f>
        <v>0</v>
      </c>
      <c r="T467" s="309">
        <f t="shared" si="153"/>
        <v>0</v>
      </c>
      <c r="U467" s="498">
        <f>U468</f>
        <v>0</v>
      </c>
      <c r="V467" s="498">
        <f>V468</f>
        <v>0</v>
      </c>
      <c r="W467" s="310">
        <f t="shared" si="146"/>
        <v>0</v>
      </c>
      <c r="X467" s="310">
        <f t="shared" si="147"/>
        <v>0</v>
      </c>
    </row>
    <row r="468" spans="1:24" ht="5.25" hidden="1" customHeight="1" x14ac:dyDescent="0.2">
      <c r="A468" s="124" t="s">
        <v>834</v>
      </c>
      <c r="B468" s="243" t="s">
        <v>644</v>
      </c>
      <c r="C468" s="353" t="s">
        <v>608</v>
      </c>
      <c r="D468" s="353" t="s">
        <v>619</v>
      </c>
      <c r="E468" s="369" t="s">
        <v>1437</v>
      </c>
      <c r="F468" s="369" t="s">
        <v>634</v>
      </c>
      <c r="G468" s="288"/>
      <c r="H468" s="288"/>
      <c r="I468" s="288"/>
      <c r="J468" s="288"/>
      <c r="K468" s="43">
        <f t="shared" si="148"/>
        <v>0</v>
      </c>
      <c r="L468" s="43">
        <f t="shared" si="149"/>
        <v>0</v>
      </c>
      <c r="M468" s="217">
        <f t="shared" si="154"/>
        <v>0</v>
      </c>
      <c r="N468" s="42"/>
      <c r="R468" s="288"/>
      <c r="S468" s="288"/>
      <c r="T468" s="217">
        <f t="shared" si="153"/>
        <v>0</v>
      </c>
      <c r="U468" s="288">
        <v>0</v>
      </c>
      <c r="V468" s="288"/>
      <c r="W468" s="203">
        <f t="shared" si="146"/>
        <v>0</v>
      </c>
      <c r="X468" s="203">
        <f t="shared" si="147"/>
        <v>0</v>
      </c>
    </row>
    <row r="469" spans="1:24" s="307" customFormat="1" ht="8.25" hidden="1" customHeight="1" x14ac:dyDescent="0.2">
      <c r="A469" s="489" t="s">
        <v>612</v>
      </c>
      <c r="B469" s="306" t="s">
        <v>644</v>
      </c>
      <c r="C469" s="488" t="s">
        <v>613</v>
      </c>
      <c r="D469" s="354"/>
      <c r="E469" s="450"/>
      <c r="F469" s="450"/>
      <c r="G469" s="498">
        <f t="shared" ref="G469:J473" si="160">G470</f>
        <v>0</v>
      </c>
      <c r="H469" s="498">
        <f t="shared" si="160"/>
        <v>0</v>
      </c>
      <c r="I469" s="591">
        <f t="shared" si="160"/>
        <v>0</v>
      </c>
      <c r="J469" s="591">
        <f t="shared" si="160"/>
        <v>0</v>
      </c>
      <c r="K469" s="591">
        <f t="shared" si="148"/>
        <v>0</v>
      </c>
      <c r="L469" s="591">
        <f t="shared" si="149"/>
        <v>0</v>
      </c>
      <c r="M469" s="217">
        <f t="shared" si="154"/>
        <v>0</v>
      </c>
      <c r="N469" s="292"/>
      <c r="R469" s="591">
        <f t="shared" ref="R469:S473" si="161">R470</f>
        <v>0</v>
      </c>
      <c r="S469" s="591">
        <f t="shared" si="161"/>
        <v>0</v>
      </c>
      <c r="T469" s="309">
        <f t="shared" ref="T469:T474" si="162">I469-G469</f>
        <v>0</v>
      </c>
      <c r="U469" s="498">
        <f t="shared" ref="U469:V473" si="163">U470</f>
        <v>20699.95</v>
      </c>
      <c r="V469" s="498">
        <f t="shared" si="163"/>
        <v>20083.091489999999</v>
      </c>
      <c r="W469" s="310">
        <f t="shared" ref="W469:W474" si="164">G469-I469</f>
        <v>0</v>
      </c>
      <c r="X469" s="310">
        <f t="shared" ref="X469:X474" si="165">K469+W469</f>
        <v>0</v>
      </c>
    </row>
    <row r="470" spans="1:24" s="307" customFormat="1" ht="10.5" hidden="1" customHeight="1" x14ac:dyDescent="0.2">
      <c r="A470" s="451" t="s">
        <v>6</v>
      </c>
      <c r="B470" s="306" t="s">
        <v>644</v>
      </c>
      <c r="C470" s="488" t="s">
        <v>613</v>
      </c>
      <c r="D470" s="488" t="s">
        <v>613</v>
      </c>
      <c r="E470" s="450"/>
      <c r="F470" s="450"/>
      <c r="G470" s="498">
        <f t="shared" si="160"/>
        <v>0</v>
      </c>
      <c r="H470" s="498">
        <f t="shared" si="160"/>
        <v>0</v>
      </c>
      <c r="I470" s="591">
        <f t="shared" si="160"/>
        <v>0</v>
      </c>
      <c r="J470" s="591">
        <f t="shared" si="160"/>
        <v>0</v>
      </c>
      <c r="K470" s="591">
        <f t="shared" si="148"/>
        <v>0</v>
      </c>
      <c r="L470" s="591">
        <f t="shared" si="149"/>
        <v>0</v>
      </c>
      <c r="M470" s="217">
        <f t="shared" si="154"/>
        <v>0</v>
      </c>
      <c r="N470" s="292"/>
      <c r="R470" s="591">
        <f t="shared" si="161"/>
        <v>0</v>
      </c>
      <c r="S470" s="591">
        <f t="shared" si="161"/>
        <v>0</v>
      </c>
      <c r="T470" s="309">
        <f t="shared" si="162"/>
        <v>0</v>
      </c>
      <c r="U470" s="498">
        <f t="shared" si="163"/>
        <v>20699.95</v>
      </c>
      <c r="V470" s="498">
        <f t="shared" si="163"/>
        <v>20083.091489999999</v>
      </c>
      <c r="W470" s="310">
        <f t="shared" si="164"/>
        <v>0</v>
      </c>
      <c r="X470" s="310">
        <f t="shared" si="165"/>
        <v>0</v>
      </c>
    </row>
    <row r="471" spans="1:24" s="307" customFormat="1" ht="6" hidden="1" customHeight="1" x14ac:dyDescent="0.2">
      <c r="A471" s="121" t="s">
        <v>1205</v>
      </c>
      <c r="B471" s="67" t="s">
        <v>644</v>
      </c>
      <c r="C471" s="488" t="s">
        <v>613</v>
      </c>
      <c r="D471" s="488" t="s">
        <v>613</v>
      </c>
      <c r="E471" s="377" t="s">
        <v>1206</v>
      </c>
      <c r="F471" s="450"/>
      <c r="G471" s="498">
        <f t="shared" si="160"/>
        <v>0</v>
      </c>
      <c r="H471" s="498">
        <f t="shared" si="160"/>
        <v>0</v>
      </c>
      <c r="I471" s="591">
        <f t="shared" si="160"/>
        <v>0</v>
      </c>
      <c r="J471" s="591">
        <f t="shared" si="160"/>
        <v>0</v>
      </c>
      <c r="K471" s="591">
        <f t="shared" si="148"/>
        <v>0</v>
      </c>
      <c r="L471" s="591">
        <f t="shared" si="149"/>
        <v>0</v>
      </c>
      <c r="M471" s="217">
        <f t="shared" si="154"/>
        <v>0</v>
      </c>
      <c r="N471" s="292"/>
      <c r="R471" s="591">
        <f t="shared" si="161"/>
        <v>0</v>
      </c>
      <c r="S471" s="591">
        <f t="shared" si="161"/>
        <v>0</v>
      </c>
      <c r="T471" s="309"/>
      <c r="U471" s="498">
        <f t="shared" si="163"/>
        <v>20699.95</v>
      </c>
      <c r="V471" s="498">
        <f t="shared" si="163"/>
        <v>20083.091489999999</v>
      </c>
      <c r="W471" s="310"/>
      <c r="X471" s="310"/>
    </row>
    <row r="472" spans="1:24" s="307" customFormat="1" ht="6.75" hidden="1" customHeight="1" x14ac:dyDescent="0.2">
      <c r="A472" s="121" t="s">
        <v>1284</v>
      </c>
      <c r="B472" s="306" t="s">
        <v>644</v>
      </c>
      <c r="C472" s="488" t="s">
        <v>613</v>
      </c>
      <c r="D472" s="488" t="s">
        <v>613</v>
      </c>
      <c r="E472" s="377">
        <v>8900500000</v>
      </c>
      <c r="F472" s="450"/>
      <c r="G472" s="498">
        <f t="shared" si="160"/>
        <v>0</v>
      </c>
      <c r="H472" s="498">
        <f t="shared" si="160"/>
        <v>0</v>
      </c>
      <c r="I472" s="591">
        <f t="shared" si="160"/>
        <v>0</v>
      </c>
      <c r="J472" s="591">
        <f t="shared" si="160"/>
        <v>0</v>
      </c>
      <c r="K472" s="591">
        <f t="shared" si="148"/>
        <v>0</v>
      </c>
      <c r="L472" s="591">
        <f t="shared" si="149"/>
        <v>0</v>
      </c>
      <c r="M472" s="217">
        <f t="shared" si="154"/>
        <v>0</v>
      </c>
      <c r="N472" s="292"/>
      <c r="R472" s="591">
        <f t="shared" si="161"/>
        <v>0</v>
      </c>
      <c r="S472" s="591">
        <f t="shared" si="161"/>
        <v>0</v>
      </c>
      <c r="T472" s="309">
        <f t="shared" si="162"/>
        <v>0</v>
      </c>
      <c r="U472" s="498">
        <f t="shared" si="163"/>
        <v>20699.95</v>
      </c>
      <c r="V472" s="498">
        <f t="shared" si="163"/>
        <v>20083.091489999999</v>
      </c>
      <c r="W472" s="310">
        <f t="shared" si="164"/>
        <v>0</v>
      </c>
      <c r="X472" s="310">
        <f t="shared" si="165"/>
        <v>0</v>
      </c>
    </row>
    <row r="473" spans="1:24" s="307" customFormat="1" ht="11.25" hidden="1" customHeight="1" x14ac:dyDescent="0.2">
      <c r="A473" s="121" t="s">
        <v>1285</v>
      </c>
      <c r="B473" s="306" t="s">
        <v>644</v>
      </c>
      <c r="C473" s="488" t="s">
        <v>613</v>
      </c>
      <c r="D473" s="488" t="s">
        <v>613</v>
      </c>
      <c r="E473" s="377" t="s">
        <v>1286</v>
      </c>
      <c r="F473" s="450"/>
      <c r="G473" s="498">
        <f t="shared" si="160"/>
        <v>0</v>
      </c>
      <c r="H473" s="498">
        <f t="shared" si="160"/>
        <v>0</v>
      </c>
      <c r="I473" s="591">
        <f t="shared" si="160"/>
        <v>0</v>
      </c>
      <c r="J473" s="591">
        <f t="shared" si="160"/>
        <v>0</v>
      </c>
      <c r="K473" s="591">
        <f t="shared" si="148"/>
        <v>0</v>
      </c>
      <c r="L473" s="591">
        <f t="shared" si="149"/>
        <v>0</v>
      </c>
      <c r="M473" s="217">
        <f t="shared" si="154"/>
        <v>0</v>
      </c>
      <c r="N473" s="292"/>
      <c r="R473" s="591">
        <f t="shared" si="161"/>
        <v>0</v>
      </c>
      <c r="S473" s="591">
        <f t="shared" si="161"/>
        <v>0</v>
      </c>
      <c r="T473" s="309">
        <f t="shared" si="162"/>
        <v>0</v>
      </c>
      <c r="U473" s="498">
        <f t="shared" si="163"/>
        <v>20699.95</v>
      </c>
      <c r="V473" s="498">
        <f t="shared" si="163"/>
        <v>20083.091489999999</v>
      </c>
      <c r="W473" s="310">
        <f t="shared" si="164"/>
        <v>0</v>
      </c>
      <c r="X473" s="310">
        <f t="shared" si="165"/>
        <v>0</v>
      </c>
    </row>
    <row r="474" spans="1:24" ht="8.25" hidden="1" customHeight="1" x14ac:dyDescent="0.2">
      <c r="A474" s="186" t="s">
        <v>834</v>
      </c>
      <c r="B474" s="243" t="s">
        <v>644</v>
      </c>
      <c r="C474" s="490" t="s">
        <v>613</v>
      </c>
      <c r="D474" s="490" t="s">
        <v>613</v>
      </c>
      <c r="E474" s="378" t="s">
        <v>1286</v>
      </c>
      <c r="F474" s="369">
        <v>244</v>
      </c>
      <c r="G474" s="288"/>
      <c r="H474" s="265"/>
      <c r="I474" s="288"/>
      <c r="J474" s="265"/>
      <c r="K474" s="43">
        <f t="shared" si="148"/>
        <v>0</v>
      </c>
      <c r="L474" s="43">
        <f t="shared" si="149"/>
        <v>0</v>
      </c>
      <c r="M474" s="217">
        <f t="shared" si="154"/>
        <v>0</v>
      </c>
      <c r="N474" s="43"/>
      <c r="R474" s="288"/>
      <c r="S474" s="265"/>
      <c r="T474" s="217">
        <f t="shared" si="162"/>
        <v>0</v>
      </c>
      <c r="U474" s="288">
        <v>20699.95</v>
      </c>
      <c r="V474" s="265">
        <v>20083.091489999999</v>
      </c>
      <c r="W474" s="203">
        <f t="shared" si="164"/>
        <v>0</v>
      </c>
      <c r="X474" s="203">
        <f t="shared" si="165"/>
        <v>0</v>
      </c>
    </row>
    <row r="475" spans="1:24" s="307" customFormat="1" ht="15" x14ac:dyDescent="0.2">
      <c r="A475" s="746" t="s">
        <v>121</v>
      </c>
      <c r="B475" s="306" t="s">
        <v>644</v>
      </c>
      <c r="C475" s="354" t="s">
        <v>27</v>
      </c>
      <c r="D475" s="354"/>
      <c r="E475" s="450"/>
      <c r="F475" s="450"/>
      <c r="G475" s="591">
        <f>G476+G484</f>
        <v>185.01499999999999</v>
      </c>
      <c r="H475" s="591">
        <f>H476+H484</f>
        <v>0</v>
      </c>
      <c r="I475" s="591">
        <f>I476+I484</f>
        <v>185.01499999999999</v>
      </c>
      <c r="J475" s="591">
        <f>J476+J484</f>
        <v>0</v>
      </c>
      <c r="K475" s="591">
        <f t="shared" si="148"/>
        <v>0</v>
      </c>
      <c r="L475" s="591">
        <f t="shared" si="149"/>
        <v>0</v>
      </c>
      <c r="M475" s="217">
        <f t="shared" si="154"/>
        <v>0</v>
      </c>
      <c r="N475" s="292"/>
      <c r="R475" s="591">
        <f>R476+R484</f>
        <v>44.472000000000001</v>
      </c>
      <c r="S475" s="591">
        <f>S476+S484</f>
        <v>0</v>
      </c>
      <c r="T475" s="309">
        <f t="shared" si="153"/>
        <v>0</v>
      </c>
      <c r="U475" s="498">
        <f>U476</f>
        <v>0</v>
      </c>
      <c r="V475" s="498">
        <f>V476</f>
        <v>0</v>
      </c>
      <c r="W475" s="310">
        <f t="shared" si="146"/>
        <v>0</v>
      </c>
      <c r="X475" s="310">
        <f t="shared" si="147"/>
        <v>0</v>
      </c>
    </row>
    <row r="476" spans="1:24" s="307" customFormat="1" ht="18" hidden="1" customHeight="1" x14ac:dyDescent="0.2">
      <c r="A476" s="451" t="s">
        <v>16</v>
      </c>
      <c r="B476" s="306" t="s">
        <v>644</v>
      </c>
      <c r="C476" s="354" t="s">
        <v>27</v>
      </c>
      <c r="D476" s="354" t="s">
        <v>606</v>
      </c>
      <c r="E476" s="450"/>
      <c r="F476" s="450"/>
      <c r="G476" s="498">
        <f>G477</f>
        <v>0</v>
      </c>
      <c r="H476" s="498">
        <f>H477</f>
        <v>0</v>
      </c>
      <c r="I476" s="591">
        <f>I477</f>
        <v>0</v>
      </c>
      <c r="J476" s="591">
        <f>J477</f>
        <v>0</v>
      </c>
      <c r="K476" s="591">
        <f t="shared" si="148"/>
        <v>0</v>
      </c>
      <c r="L476" s="591">
        <f t="shared" si="149"/>
        <v>0</v>
      </c>
      <c r="M476" s="217">
        <f t="shared" si="154"/>
        <v>0</v>
      </c>
      <c r="N476" s="292"/>
      <c r="R476" s="591">
        <f>R477</f>
        <v>0</v>
      </c>
      <c r="S476" s="591">
        <f>S477</f>
        <v>0</v>
      </c>
      <c r="T476" s="309">
        <f t="shared" si="153"/>
        <v>0</v>
      </c>
      <c r="U476" s="498">
        <f>U477</f>
        <v>0</v>
      </c>
      <c r="V476" s="498">
        <f>V477</f>
        <v>0</v>
      </c>
      <c r="W476" s="310">
        <f t="shared" si="146"/>
        <v>0</v>
      </c>
      <c r="X476" s="310">
        <f t="shared" si="147"/>
        <v>0</v>
      </c>
    </row>
    <row r="477" spans="1:24" s="307" customFormat="1" ht="15" hidden="1" customHeight="1" x14ac:dyDescent="0.2">
      <c r="A477" s="451" t="s">
        <v>65</v>
      </c>
      <c r="B477" s="306" t="s">
        <v>644</v>
      </c>
      <c r="C477" s="354" t="s">
        <v>27</v>
      </c>
      <c r="D477" s="354" t="s">
        <v>606</v>
      </c>
      <c r="E477" s="450" t="s">
        <v>312</v>
      </c>
      <c r="F477" s="450"/>
      <c r="G477" s="498">
        <f>G478+G480+G482</f>
        <v>0</v>
      </c>
      <c r="H477" s="498">
        <f>H478+H480+H482</f>
        <v>0</v>
      </c>
      <c r="I477" s="591">
        <f>I478+I480+I482</f>
        <v>0</v>
      </c>
      <c r="J477" s="591">
        <f>J478+J480+J482</f>
        <v>0</v>
      </c>
      <c r="K477" s="591">
        <f t="shared" si="148"/>
        <v>0</v>
      </c>
      <c r="L477" s="591">
        <f t="shared" si="149"/>
        <v>0</v>
      </c>
      <c r="M477" s="217">
        <f t="shared" si="154"/>
        <v>0</v>
      </c>
      <c r="N477" s="292"/>
      <c r="R477" s="591">
        <f>R478+R480+R482</f>
        <v>0</v>
      </c>
      <c r="S477" s="591">
        <f>S478+S480+S482</f>
        <v>0</v>
      </c>
      <c r="T477" s="309">
        <f t="shared" si="153"/>
        <v>0</v>
      </c>
      <c r="U477" s="498">
        <f>U478+U480+U482</f>
        <v>0</v>
      </c>
      <c r="V477" s="498">
        <f>V478+V480+V482</f>
        <v>0</v>
      </c>
      <c r="W477" s="310">
        <f t="shared" si="146"/>
        <v>0</v>
      </c>
      <c r="X477" s="310">
        <f t="shared" si="147"/>
        <v>0</v>
      </c>
    </row>
    <row r="478" spans="1:24" s="307" customFormat="1" ht="15.75" hidden="1" customHeight="1" x14ac:dyDescent="0.2">
      <c r="A478" s="451" t="s">
        <v>846</v>
      </c>
      <c r="B478" s="306" t="s">
        <v>644</v>
      </c>
      <c r="C478" s="354" t="s">
        <v>27</v>
      </c>
      <c r="D478" s="354" t="s">
        <v>606</v>
      </c>
      <c r="E478" s="450" t="s">
        <v>845</v>
      </c>
      <c r="F478" s="450"/>
      <c r="G478" s="498">
        <f>G479</f>
        <v>0</v>
      </c>
      <c r="H478" s="498">
        <f>H479</f>
        <v>0</v>
      </c>
      <c r="I478" s="591">
        <f>I479</f>
        <v>0</v>
      </c>
      <c r="J478" s="591">
        <f>J479</f>
        <v>0</v>
      </c>
      <c r="K478" s="591">
        <f t="shared" si="148"/>
        <v>0</v>
      </c>
      <c r="L478" s="591">
        <f t="shared" si="149"/>
        <v>0</v>
      </c>
      <c r="M478" s="217">
        <f t="shared" si="154"/>
        <v>0</v>
      </c>
      <c r="N478" s="292"/>
      <c r="R478" s="591">
        <f>R479</f>
        <v>0</v>
      </c>
      <c r="S478" s="591">
        <f>S479</f>
        <v>0</v>
      </c>
      <c r="T478" s="309">
        <f t="shared" si="153"/>
        <v>0</v>
      </c>
      <c r="U478" s="498">
        <f>U479</f>
        <v>0</v>
      </c>
      <c r="V478" s="498">
        <f>V479</f>
        <v>0</v>
      </c>
      <c r="W478" s="310">
        <f t="shared" si="146"/>
        <v>0</v>
      </c>
      <c r="X478" s="310">
        <f t="shared" si="147"/>
        <v>0</v>
      </c>
    </row>
    <row r="479" spans="1:24" ht="15.75" hidden="1" customHeight="1" x14ac:dyDescent="0.2">
      <c r="A479" s="124" t="s">
        <v>575</v>
      </c>
      <c r="B479" s="243" t="s">
        <v>644</v>
      </c>
      <c r="C479" s="353" t="s">
        <v>27</v>
      </c>
      <c r="D479" s="353" t="s">
        <v>606</v>
      </c>
      <c r="E479" s="369" t="s">
        <v>845</v>
      </c>
      <c r="F479" s="369" t="s">
        <v>576</v>
      </c>
      <c r="G479" s="288"/>
      <c r="H479" s="288"/>
      <c r="I479" s="288"/>
      <c r="J479" s="288"/>
      <c r="K479" s="43">
        <f t="shared" si="148"/>
        <v>0</v>
      </c>
      <c r="L479" s="43">
        <f t="shared" si="149"/>
        <v>0</v>
      </c>
      <c r="M479" s="217">
        <f t="shared" si="154"/>
        <v>0</v>
      </c>
      <c r="N479" s="43"/>
      <c r="R479" s="288"/>
      <c r="S479" s="288"/>
      <c r="T479" s="217">
        <f t="shared" si="153"/>
        <v>0</v>
      </c>
      <c r="U479" s="288"/>
      <c r="V479" s="288"/>
      <c r="W479" s="203">
        <f t="shared" si="146"/>
        <v>0</v>
      </c>
      <c r="X479" s="203">
        <f t="shared" si="147"/>
        <v>0</v>
      </c>
    </row>
    <row r="480" spans="1:24" s="307" customFormat="1" ht="27" hidden="1" customHeight="1" x14ac:dyDescent="0.2">
      <c r="A480" s="451" t="s">
        <v>702</v>
      </c>
      <c r="B480" s="306" t="s">
        <v>644</v>
      </c>
      <c r="C480" s="354" t="s">
        <v>27</v>
      </c>
      <c r="D480" s="354" t="s">
        <v>606</v>
      </c>
      <c r="E480" s="450" t="s">
        <v>705</v>
      </c>
      <c r="F480" s="450"/>
      <c r="G480" s="498">
        <f>G481</f>
        <v>0</v>
      </c>
      <c r="H480" s="498">
        <f>H481</f>
        <v>0</v>
      </c>
      <c r="I480" s="591">
        <f>I481</f>
        <v>0</v>
      </c>
      <c r="J480" s="591">
        <f>J481</f>
        <v>0</v>
      </c>
      <c r="K480" s="591">
        <f t="shared" si="148"/>
        <v>0</v>
      </c>
      <c r="L480" s="591">
        <f t="shared" si="149"/>
        <v>0</v>
      </c>
      <c r="M480" s="217">
        <f t="shared" si="154"/>
        <v>0</v>
      </c>
      <c r="N480" s="292"/>
      <c r="R480" s="591">
        <f>R481</f>
        <v>0</v>
      </c>
      <c r="S480" s="591">
        <f>S481</f>
        <v>0</v>
      </c>
      <c r="T480" s="309">
        <f t="shared" si="153"/>
        <v>0</v>
      </c>
      <c r="U480" s="498">
        <f>U481</f>
        <v>0</v>
      </c>
      <c r="V480" s="498">
        <f>V481</f>
        <v>0</v>
      </c>
      <c r="W480" s="310">
        <f t="shared" si="146"/>
        <v>0</v>
      </c>
      <c r="X480" s="310">
        <f t="shared" si="147"/>
        <v>0</v>
      </c>
    </row>
    <row r="481" spans="1:24" ht="16.5" hidden="1" customHeight="1" x14ac:dyDescent="0.2">
      <c r="A481" s="124" t="s">
        <v>575</v>
      </c>
      <c r="B481" s="243" t="s">
        <v>644</v>
      </c>
      <c r="C481" s="353" t="s">
        <v>27</v>
      </c>
      <c r="D481" s="353" t="s">
        <v>606</v>
      </c>
      <c r="E481" s="369" t="s">
        <v>705</v>
      </c>
      <c r="F481" s="369" t="s">
        <v>576</v>
      </c>
      <c r="G481" s="288">
        <v>0</v>
      </c>
      <c r="H481" s="288"/>
      <c r="I481" s="288">
        <v>0</v>
      </c>
      <c r="J481" s="288"/>
      <c r="K481" s="43">
        <f t="shared" si="148"/>
        <v>0</v>
      </c>
      <c r="L481" s="43">
        <f t="shared" si="149"/>
        <v>0</v>
      </c>
      <c r="M481" s="217">
        <f t="shared" si="154"/>
        <v>0</v>
      </c>
      <c r="N481" s="43"/>
      <c r="R481" s="288">
        <v>0</v>
      </c>
      <c r="S481" s="288"/>
      <c r="T481" s="217">
        <f t="shared" si="153"/>
        <v>0</v>
      </c>
      <c r="U481" s="288">
        <v>0</v>
      </c>
      <c r="V481" s="288"/>
      <c r="W481" s="203">
        <f t="shared" si="146"/>
        <v>0</v>
      </c>
      <c r="X481" s="203">
        <f t="shared" si="147"/>
        <v>0</v>
      </c>
    </row>
    <row r="482" spans="1:24" s="307" customFormat="1" ht="27" hidden="1" customHeight="1" x14ac:dyDescent="0.2">
      <c r="A482" s="451" t="s">
        <v>703</v>
      </c>
      <c r="B482" s="306" t="s">
        <v>644</v>
      </c>
      <c r="C482" s="354" t="s">
        <v>27</v>
      </c>
      <c r="D482" s="354" t="s">
        <v>606</v>
      </c>
      <c r="E482" s="450" t="s">
        <v>706</v>
      </c>
      <c r="F482" s="450"/>
      <c r="G482" s="498">
        <f>G483</f>
        <v>0</v>
      </c>
      <c r="H482" s="498">
        <f>H483</f>
        <v>0</v>
      </c>
      <c r="I482" s="591">
        <f>I483</f>
        <v>0</v>
      </c>
      <c r="J482" s="591">
        <f>J483</f>
        <v>0</v>
      </c>
      <c r="K482" s="591">
        <f t="shared" si="148"/>
        <v>0</v>
      </c>
      <c r="L482" s="591">
        <f t="shared" si="149"/>
        <v>0</v>
      </c>
      <c r="M482" s="217">
        <f t="shared" si="154"/>
        <v>0</v>
      </c>
      <c r="N482" s="292"/>
      <c r="R482" s="591">
        <f>R483</f>
        <v>0</v>
      </c>
      <c r="S482" s="591">
        <f>S483</f>
        <v>0</v>
      </c>
      <c r="T482" s="309">
        <f t="shared" si="153"/>
        <v>0</v>
      </c>
      <c r="U482" s="498">
        <f>U483</f>
        <v>0</v>
      </c>
      <c r="V482" s="498">
        <f>V483</f>
        <v>0</v>
      </c>
      <c r="W482" s="310">
        <f t="shared" si="146"/>
        <v>0</v>
      </c>
      <c r="X482" s="310">
        <f t="shared" si="147"/>
        <v>0</v>
      </c>
    </row>
    <row r="483" spans="1:24" ht="18" hidden="1" customHeight="1" x14ac:dyDescent="0.2">
      <c r="A483" s="124" t="s">
        <v>575</v>
      </c>
      <c r="B483" s="243" t="s">
        <v>644</v>
      </c>
      <c r="C483" s="353" t="s">
        <v>27</v>
      </c>
      <c r="D483" s="353" t="s">
        <v>606</v>
      </c>
      <c r="E483" s="369" t="s">
        <v>706</v>
      </c>
      <c r="F483" s="369" t="s">
        <v>576</v>
      </c>
      <c r="G483" s="288">
        <v>0</v>
      </c>
      <c r="H483" s="288"/>
      <c r="I483" s="288">
        <v>0</v>
      </c>
      <c r="J483" s="288"/>
      <c r="K483" s="43">
        <f t="shared" si="148"/>
        <v>0</v>
      </c>
      <c r="L483" s="43">
        <f t="shared" si="149"/>
        <v>0</v>
      </c>
      <c r="M483" s="217">
        <f t="shared" si="154"/>
        <v>0</v>
      </c>
      <c r="N483" s="43"/>
      <c r="R483" s="288">
        <v>0</v>
      </c>
      <c r="S483" s="288"/>
      <c r="T483" s="217">
        <f t="shared" si="153"/>
        <v>0</v>
      </c>
      <c r="U483" s="288">
        <v>0</v>
      </c>
      <c r="V483" s="288"/>
      <c r="W483" s="203">
        <f t="shared" si="146"/>
        <v>0</v>
      </c>
      <c r="X483" s="203">
        <f t="shared" si="147"/>
        <v>0</v>
      </c>
    </row>
    <row r="484" spans="1:24" ht="15" x14ac:dyDescent="0.2">
      <c r="A484" s="741" t="s">
        <v>82</v>
      </c>
      <c r="B484" s="388" t="s">
        <v>644</v>
      </c>
      <c r="C484" s="389" t="s">
        <v>27</v>
      </c>
      <c r="D484" s="544" t="s">
        <v>607</v>
      </c>
      <c r="E484" s="390"/>
      <c r="F484" s="390"/>
      <c r="G484" s="391">
        <f t="shared" ref="G484:J486" si="166">G485</f>
        <v>185.01499999999999</v>
      </c>
      <c r="H484" s="391">
        <f t="shared" si="166"/>
        <v>0</v>
      </c>
      <c r="I484" s="391">
        <f t="shared" si="166"/>
        <v>185.01499999999999</v>
      </c>
      <c r="J484" s="391">
        <f t="shared" si="166"/>
        <v>0</v>
      </c>
      <c r="K484" s="391">
        <f t="shared" si="148"/>
        <v>0</v>
      </c>
      <c r="L484" s="391">
        <f t="shared" si="149"/>
        <v>0</v>
      </c>
      <c r="M484" s="217"/>
      <c r="N484" s="43"/>
      <c r="R484" s="391">
        <f t="shared" ref="R484:S486" si="167">R485</f>
        <v>44.472000000000001</v>
      </c>
      <c r="S484" s="391">
        <f t="shared" si="167"/>
        <v>0</v>
      </c>
      <c r="T484" s="217"/>
      <c r="U484" s="288"/>
      <c r="V484" s="288"/>
      <c r="W484" s="203"/>
      <c r="X484" s="203"/>
    </row>
    <row r="485" spans="1:24" ht="15" x14ac:dyDescent="0.2">
      <c r="A485" s="746" t="s">
        <v>65</v>
      </c>
      <c r="B485" s="388" t="s">
        <v>644</v>
      </c>
      <c r="C485" s="389" t="s">
        <v>27</v>
      </c>
      <c r="D485" s="544" t="s">
        <v>607</v>
      </c>
      <c r="E485" s="390">
        <v>9990000000</v>
      </c>
      <c r="F485" s="390"/>
      <c r="G485" s="391">
        <f t="shared" si="166"/>
        <v>185.01499999999999</v>
      </c>
      <c r="H485" s="391">
        <f t="shared" si="166"/>
        <v>0</v>
      </c>
      <c r="I485" s="391">
        <f t="shared" si="166"/>
        <v>185.01499999999999</v>
      </c>
      <c r="J485" s="391">
        <f t="shared" si="166"/>
        <v>0</v>
      </c>
      <c r="K485" s="391">
        <f t="shared" si="148"/>
        <v>0</v>
      </c>
      <c r="L485" s="391">
        <f t="shared" si="149"/>
        <v>0</v>
      </c>
      <c r="M485" s="217"/>
      <c r="N485" s="43"/>
      <c r="R485" s="391">
        <f t="shared" si="167"/>
        <v>44.472000000000001</v>
      </c>
      <c r="S485" s="391">
        <f t="shared" si="167"/>
        <v>0</v>
      </c>
      <c r="T485" s="217"/>
      <c r="U485" s="288"/>
      <c r="V485" s="288"/>
      <c r="W485" s="203"/>
      <c r="X485" s="203"/>
    </row>
    <row r="486" spans="1:24" ht="25.5" x14ac:dyDescent="0.2">
      <c r="A486" s="741" t="s">
        <v>1226</v>
      </c>
      <c r="B486" s="388" t="s">
        <v>644</v>
      </c>
      <c r="C486" s="389" t="s">
        <v>27</v>
      </c>
      <c r="D486" s="544" t="s">
        <v>607</v>
      </c>
      <c r="E486" s="390">
        <v>9990073250</v>
      </c>
      <c r="F486" s="390"/>
      <c r="G486" s="391">
        <f t="shared" si="166"/>
        <v>185.01499999999999</v>
      </c>
      <c r="H486" s="391">
        <f t="shared" si="166"/>
        <v>0</v>
      </c>
      <c r="I486" s="391">
        <f t="shared" si="166"/>
        <v>185.01499999999999</v>
      </c>
      <c r="J486" s="391">
        <f t="shared" si="166"/>
        <v>0</v>
      </c>
      <c r="K486" s="391">
        <f t="shared" si="148"/>
        <v>0</v>
      </c>
      <c r="L486" s="391">
        <f t="shared" si="149"/>
        <v>0</v>
      </c>
      <c r="M486" s="217"/>
      <c r="N486" s="43"/>
      <c r="R486" s="391">
        <f t="shared" si="167"/>
        <v>44.472000000000001</v>
      </c>
      <c r="S486" s="391">
        <f t="shared" si="167"/>
        <v>0</v>
      </c>
      <c r="T486" s="217"/>
      <c r="U486" s="288"/>
      <c r="V486" s="288"/>
      <c r="W486" s="203"/>
      <c r="X486" s="203"/>
    </row>
    <row r="487" spans="1:24" ht="15" x14ac:dyDescent="0.2">
      <c r="A487" s="744" t="s">
        <v>834</v>
      </c>
      <c r="B487" s="243" t="s">
        <v>644</v>
      </c>
      <c r="C487" s="353" t="s">
        <v>27</v>
      </c>
      <c r="D487" s="490" t="s">
        <v>607</v>
      </c>
      <c r="E487" s="369">
        <v>9990073250</v>
      </c>
      <c r="F487" s="369">
        <v>244</v>
      </c>
      <c r="G487" s="288">
        <v>185.01499999999999</v>
      </c>
      <c r="H487" s="288"/>
      <c r="I487" s="288">
        <v>185.01499999999999</v>
      </c>
      <c r="J487" s="288"/>
      <c r="K487" s="43">
        <f t="shared" si="148"/>
        <v>0</v>
      </c>
      <c r="L487" s="43">
        <f t="shared" si="149"/>
        <v>0</v>
      </c>
      <c r="M487" s="217"/>
      <c r="N487" s="43"/>
      <c r="R487" s="288">
        <v>44.472000000000001</v>
      </c>
      <c r="S487" s="288"/>
      <c r="T487" s="217"/>
      <c r="U487" s="288"/>
      <c r="V487" s="288"/>
      <c r="W487" s="203"/>
      <c r="X487" s="203"/>
    </row>
    <row r="488" spans="1:24" s="307" customFormat="1" ht="12.75" hidden="1" customHeight="1" x14ac:dyDescent="0.2">
      <c r="A488" s="451" t="s">
        <v>838</v>
      </c>
      <c r="B488" s="306" t="s">
        <v>644</v>
      </c>
      <c r="C488" s="354" t="s">
        <v>621</v>
      </c>
      <c r="D488" s="354"/>
      <c r="E488" s="450"/>
      <c r="F488" s="450"/>
      <c r="G488" s="498">
        <f>G489</f>
        <v>0</v>
      </c>
      <c r="H488" s="498">
        <f>H489</f>
        <v>0</v>
      </c>
      <c r="I488" s="591">
        <f>I489</f>
        <v>0</v>
      </c>
      <c r="J488" s="591">
        <f>J489</f>
        <v>0</v>
      </c>
      <c r="K488" s="591">
        <f t="shared" si="148"/>
        <v>0</v>
      </c>
      <c r="L488" s="591">
        <f t="shared" si="149"/>
        <v>0</v>
      </c>
      <c r="M488" s="217">
        <f t="shared" si="154"/>
        <v>0</v>
      </c>
      <c r="N488" s="292">
        <f>N489</f>
        <v>77.400000000000006</v>
      </c>
      <c r="R488" s="591">
        <f>R489</f>
        <v>0</v>
      </c>
      <c r="S488" s="591">
        <f>S489</f>
        <v>0</v>
      </c>
      <c r="T488" s="309">
        <f t="shared" si="153"/>
        <v>0</v>
      </c>
      <c r="U488" s="498">
        <f>U489</f>
        <v>270</v>
      </c>
      <c r="V488" s="498">
        <f>V489</f>
        <v>0</v>
      </c>
      <c r="W488" s="310">
        <f t="shared" si="146"/>
        <v>0</v>
      </c>
      <c r="X488" s="310">
        <f t="shared" si="147"/>
        <v>0</v>
      </c>
    </row>
    <row r="489" spans="1:24" s="307" customFormat="1" ht="12.75" hidden="1" customHeight="1" x14ac:dyDescent="0.2">
      <c r="A489" s="451" t="s">
        <v>11</v>
      </c>
      <c r="B489" s="306" t="s">
        <v>644</v>
      </c>
      <c r="C489" s="354" t="s">
        <v>621</v>
      </c>
      <c r="D489" s="354" t="s">
        <v>606</v>
      </c>
      <c r="E489" s="450"/>
      <c r="F489" s="450"/>
      <c r="G489" s="498">
        <f>G517+G490+G501+G496</f>
        <v>0</v>
      </c>
      <c r="H489" s="498">
        <f>H517+H490+H501+H496</f>
        <v>0</v>
      </c>
      <c r="I489" s="591">
        <f>I517+I490+I501+I496</f>
        <v>0</v>
      </c>
      <c r="J489" s="591">
        <f>J517+J490+J501+J496</f>
        <v>0</v>
      </c>
      <c r="K489" s="591">
        <f t="shared" si="148"/>
        <v>0</v>
      </c>
      <c r="L489" s="591">
        <f t="shared" si="149"/>
        <v>0</v>
      </c>
      <c r="M489" s="217">
        <f t="shared" si="154"/>
        <v>0</v>
      </c>
      <c r="N489" s="292">
        <f>N517</f>
        <v>77.400000000000006</v>
      </c>
      <c r="R489" s="591">
        <f>R517+R490+R501+R496</f>
        <v>0</v>
      </c>
      <c r="S489" s="591">
        <f>S517+S490+S501+S496</f>
        <v>0</v>
      </c>
      <c r="T489" s="309">
        <f t="shared" ref="T489:T507" si="168">I489-G489</f>
        <v>0</v>
      </c>
      <c r="U489" s="498">
        <f>U517+U490+U501+U496</f>
        <v>270</v>
      </c>
      <c r="V489" s="498">
        <f>V517+V490+V501+V496</f>
        <v>0</v>
      </c>
      <c r="W489" s="310">
        <f t="shared" si="146"/>
        <v>0</v>
      </c>
      <c r="X489" s="310">
        <f t="shared" si="147"/>
        <v>0</v>
      </c>
    </row>
    <row r="490" spans="1:24" s="307" customFormat="1" ht="37.5" hidden="1" customHeight="1" x14ac:dyDescent="0.2">
      <c r="A490" s="451" t="s">
        <v>679</v>
      </c>
      <c r="B490" s="306" t="s">
        <v>644</v>
      </c>
      <c r="C490" s="354" t="s">
        <v>621</v>
      </c>
      <c r="D490" s="354" t="s">
        <v>606</v>
      </c>
      <c r="E490" s="450" t="s">
        <v>676</v>
      </c>
      <c r="F490" s="450"/>
      <c r="G490" s="498">
        <f>G491</f>
        <v>0</v>
      </c>
      <c r="H490" s="498">
        <f>H491</f>
        <v>0</v>
      </c>
      <c r="I490" s="591">
        <f>I491</f>
        <v>0</v>
      </c>
      <c r="J490" s="591">
        <f>J491</f>
        <v>0</v>
      </c>
      <c r="K490" s="591">
        <f t="shared" si="148"/>
        <v>0</v>
      </c>
      <c r="L490" s="591">
        <f t="shared" si="149"/>
        <v>0</v>
      </c>
      <c r="M490" s="217">
        <f t="shared" si="154"/>
        <v>0</v>
      </c>
      <c r="N490" s="292"/>
      <c r="R490" s="591">
        <f>R491</f>
        <v>0</v>
      </c>
      <c r="S490" s="591">
        <f>S491</f>
        <v>0</v>
      </c>
      <c r="T490" s="309">
        <f t="shared" si="168"/>
        <v>0</v>
      </c>
      <c r="U490" s="498">
        <f>U491</f>
        <v>0</v>
      </c>
      <c r="V490" s="498">
        <f>V491</f>
        <v>0</v>
      </c>
      <c r="W490" s="310">
        <f t="shared" si="146"/>
        <v>0</v>
      </c>
      <c r="X490" s="310">
        <f t="shared" si="147"/>
        <v>0</v>
      </c>
    </row>
    <row r="491" spans="1:24" s="307" customFormat="1" ht="66" hidden="1" customHeight="1" x14ac:dyDescent="0.2">
      <c r="A491" s="451" t="s">
        <v>1076</v>
      </c>
      <c r="B491" s="306" t="s">
        <v>644</v>
      </c>
      <c r="C491" s="354" t="s">
        <v>621</v>
      </c>
      <c r="D491" s="354" t="s">
        <v>606</v>
      </c>
      <c r="E491" s="450" t="s">
        <v>1075</v>
      </c>
      <c r="F491" s="450"/>
      <c r="G491" s="498">
        <f>G494+G492</f>
        <v>0</v>
      </c>
      <c r="H491" s="498">
        <f>H494+H492</f>
        <v>0</v>
      </c>
      <c r="I491" s="591">
        <f>I494+I492</f>
        <v>0</v>
      </c>
      <c r="J491" s="591">
        <f>J494+J492</f>
        <v>0</v>
      </c>
      <c r="K491" s="591">
        <f t="shared" si="148"/>
        <v>0</v>
      </c>
      <c r="L491" s="591">
        <f t="shared" si="149"/>
        <v>0</v>
      </c>
      <c r="M491" s="217">
        <f t="shared" si="154"/>
        <v>0</v>
      </c>
      <c r="N491" s="292"/>
      <c r="R491" s="591">
        <f>R494+R492</f>
        <v>0</v>
      </c>
      <c r="S491" s="591">
        <f>S494+S492</f>
        <v>0</v>
      </c>
      <c r="T491" s="309">
        <f t="shared" si="168"/>
        <v>0</v>
      </c>
      <c r="U491" s="498">
        <f>U494+U492</f>
        <v>0</v>
      </c>
      <c r="V491" s="498">
        <f>V494+V492</f>
        <v>0</v>
      </c>
      <c r="W491" s="310">
        <f t="shared" si="146"/>
        <v>0</v>
      </c>
      <c r="X491" s="310">
        <f t="shared" si="147"/>
        <v>0</v>
      </c>
    </row>
    <row r="492" spans="1:24" s="307" customFormat="1" ht="87" hidden="1" customHeight="1" x14ac:dyDescent="0.2">
      <c r="A492" s="451" t="s">
        <v>1024</v>
      </c>
      <c r="B492" s="306" t="s">
        <v>644</v>
      </c>
      <c r="C492" s="354" t="s">
        <v>621</v>
      </c>
      <c r="D492" s="354" t="s">
        <v>606</v>
      </c>
      <c r="E492" s="450" t="s">
        <v>1077</v>
      </c>
      <c r="F492" s="450"/>
      <c r="G492" s="498">
        <f>G493</f>
        <v>0</v>
      </c>
      <c r="H492" s="498">
        <f>H493</f>
        <v>0</v>
      </c>
      <c r="I492" s="591">
        <f>I493</f>
        <v>0</v>
      </c>
      <c r="J492" s="591">
        <f>J493</f>
        <v>0</v>
      </c>
      <c r="K492" s="591">
        <f t="shared" si="148"/>
        <v>0</v>
      </c>
      <c r="L492" s="591">
        <f t="shared" si="149"/>
        <v>0</v>
      </c>
      <c r="M492" s="217">
        <f t="shared" si="154"/>
        <v>0</v>
      </c>
      <c r="N492" s="292"/>
      <c r="R492" s="591">
        <f>R493</f>
        <v>0</v>
      </c>
      <c r="S492" s="591">
        <f>S493</f>
        <v>0</v>
      </c>
      <c r="T492" s="309">
        <f t="shared" si="168"/>
        <v>0</v>
      </c>
      <c r="U492" s="498">
        <f>U493</f>
        <v>0</v>
      </c>
      <c r="V492" s="498">
        <f>V493</f>
        <v>0</v>
      </c>
      <c r="W492" s="310">
        <f t="shared" si="146"/>
        <v>0</v>
      </c>
      <c r="X492" s="310">
        <f t="shared" si="147"/>
        <v>0</v>
      </c>
    </row>
    <row r="493" spans="1:24" ht="16.5" hidden="1" customHeight="1" x14ac:dyDescent="0.2">
      <c r="A493" s="124" t="s">
        <v>164</v>
      </c>
      <c r="B493" s="243" t="s">
        <v>644</v>
      </c>
      <c r="C493" s="353" t="s">
        <v>621</v>
      </c>
      <c r="D493" s="353" t="s">
        <v>606</v>
      </c>
      <c r="E493" s="369" t="s">
        <v>1077</v>
      </c>
      <c r="F493" s="369" t="s">
        <v>132</v>
      </c>
      <c r="G493" s="288"/>
      <c r="H493" s="288"/>
      <c r="I493" s="288"/>
      <c r="J493" s="288"/>
      <c r="K493" s="43">
        <f t="shared" si="148"/>
        <v>0</v>
      </c>
      <c r="L493" s="43">
        <f t="shared" si="149"/>
        <v>0</v>
      </c>
      <c r="M493" s="217">
        <f t="shared" si="154"/>
        <v>0</v>
      </c>
      <c r="N493" s="42"/>
      <c r="R493" s="288"/>
      <c r="S493" s="288"/>
      <c r="T493" s="217">
        <f t="shared" si="168"/>
        <v>0</v>
      </c>
      <c r="U493" s="288"/>
      <c r="V493" s="288"/>
      <c r="W493" s="203">
        <f t="shared" si="146"/>
        <v>0</v>
      </c>
      <c r="X493" s="203">
        <f t="shared" si="147"/>
        <v>0</v>
      </c>
    </row>
    <row r="494" spans="1:24" s="307" customFormat="1" ht="24" hidden="1" customHeight="1" x14ac:dyDescent="0.2">
      <c r="A494" s="451" t="s">
        <v>680</v>
      </c>
      <c r="B494" s="306" t="s">
        <v>644</v>
      </c>
      <c r="C494" s="354" t="s">
        <v>621</v>
      </c>
      <c r="D494" s="354" t="s">
        <v>606</v>
      </c>
      <c r="E494" s="450" t="s">
        <v>678</v>
      </c>
      <c r="F494" s="450"/>
      <c r="G494" s="498">
        <f>G495</f>
        <v>0</v>
      </c>
      <c r="H494" s="498">
        <f>H495</f>
        <v>0</v>
      </c>
      <c r="I494" s="591">
        <f>I495</f>
        <v>0</v>
      </c>
      <c r="J494" s="591">
        <f>J495</f>
        <v>0</v>
      </c>
      <c r="K494" s="591">
        <f t="shared" si="148"/>
        <v>0</v>
      </c>
      <c r="L494" s="591">
        <f t="shared" si="149"/>
        <v>0</v>
      </c>
      <c r="M494" s="217">
        <f t="shared" si="154"/>
        <v>0</v>
      </c>
      <c r="N494" s="292"/>
      <c r="R494" s="591">
        <f>R495</f>
        <v>0</v>
      </c>
      <c r="S494" s="591">
        <f>S495</f>
        <v>0</v>
      </c>
      <c r="T494" s="309">
        <f t="shared" si="168"/>
        <v>0</v>
      </c>
      <c r="U494" s="498">
        <f>U495</f>
        <v>0</v>
      </c>
      <c r="V494" s="498">
        <f>V495</f>
        <v>0</v>
      </c>
      <c r="W494" s="310">
        <f t="shared" si="146"/>
        <v>0</v>
      </c>
      <c r="X494" s="310">
        <f t="shared" si="147"/>
        <v>0</v>
      </c>
    </row>
    <row r="495" spans="1:24" ht="12.75" hidden="1" customHeight="1" x14ac:dyDescent="0.2">
      <c r="A495" s="124" t="s">
        <v>164</v>
      </c>
      <c r="B495" s="243" t="s">
        <v>644</v>
      </c>
      <c r="C495" s="353" t="s">
        <v>621</v>
      </c>
      <c r="D495" s="353" t="s">
        <v>606</v>
      </c>
      <c r="E495" s="369" t="s">
        <v>678</v>
      </c>
      <c r="F495" s="369" t="s">
        <v>132</v>
      </c>
      <c r="G495" s="288">
        <v>0</v>
      </c>
      <c r="H495" s="288"/>
      <c r="I495" s="288">
        <v>0</v>
      </c>
      <c r="J495" s="288"/>
      <c r="K495" s="43">
        <f t="shared" si="148"/>
        <v>0</v>
      </c>
      <c r="L495" s="43">
        <f t="shared" si="149"/>
        <v>0</v>
      </c>
      <c r="M495" s="217">
        <f t="shared" si="154"/>
        <v>0</v>
      </c>
      <c r="N495" s="42"/>
      <c r="R495" s="288">
        <v>0</v>
      </c>
      <c r="S495" s="288"/>
      <c r="T495" s="217">
        <f t="shared" si="168"/>
        <v>0</v>
      </c>
      <c r="U495" s="288">
        <v>0</v>
      </c>
      <c r="V495" s="288"/>
      <c r="W495" s="203">
        <f t="shared" si="146"/>
        <v>0</v>
      </c>
      <c r="X495" s="203">
        <f t="shared" si="147"/>
        <v>0</v>
      </c>
    </row>
    <row r="496" spans="1:24" s="307" customFormat="1" ht="27.75" hidden="1" customHeight="1" x14ac:dyDescent="0.2">
      <c r="A496" s="451" t="s">
        <v>538</v>
      </c>
      <c r="B496" s="306" t="s">
        <v>644</v>
      </c>
      <c r="C496" s="354" t="s">
        <v>621</v>
      </c>
      <c r="D496" s="354" t="s">
        <v>606</v>
      </c>
      <c r="E496" s="450">
        <v>8100000000</v>
      </c>
      <c r="F496" s="450"/>
      <c r="G496" s="498">
        <f t="shared" ref="G496:J499" si="169">G497</f>
        <v>0</v>
      </c>
      <c r="H496" s="498">
        <f t="shared" si="169"/>
        <v>0</v>
      </c>
      <c r="I496" s="591">
        <f t="shared" si="169"/>
        <v>0</v>
      </c>
      <c r="J496" s="591">
        <f t="shared" si="169"/>
        <v>0</v>
      </c>
      <c r="K496" s="591">
        <f t="shared" si="148"/>
        <v>0</v>
      </c>
      <c r="L496" s="591">
        <f t="shared" si="149"/>
        <v>0</v>
      </c>
      <c r="M496" s="217">
        <f t="shared" si="154"/>
        <v>0</v>
      </c>
      <c r="N496" s="292"/>
      <c r="R496" s="591">
        <f t="shared" ref="R496:S499" si="170">R497</f>
        <v>0</v>
      </c>
      <c r="S496" s="591">
        <f t="shared" si="170"/>
        <v>0</v>
      </c>
      <c r="T496" s="309">
        <f t="shared" si="168"/>
        <v>0</v>
      </c>
      <c r="U496" s="498">
        <f t="shared" ref="U496:V499" si="171">U497</f>
        <v>150</v>
      </c>
      <c r="V496" s="498">
        <f t="shared" si="171"/>
        <v>0</v>
      </c>
      <c r="W496" s="310">
        <f>G496-I496</f>
        <v>0</v>
      </c>
      <c r="X496" s="310">
        <f>K496+W496</f>
        <v>0</v>
      </c>
    </row>
    <row r="497" spans="1:24" s="307" customFormat="1" ht="19.5" hidden="1" customHeight="1" x14ac:dyDescent="0.2">
      <c r="A497" s="451" t="s">
        <v>1278</v>
      </c>
      <c r="B497" s="306" t="s">
        <v>644</v>
      </c>
      <c r="C497" s="354" t="s">
        <v>621</v>
      </c>
      <c r="D497" s="354" t="s">
        <v>606</v>
      </c>
      <c r="E497" s="450">
        <v>8160000000</v>
      </c>
      <c r="F497" s="450"/>
      <c r="G497" s="498">
        <f t="shared" si="169"/>
        <v>0</v>
      </c>
      <c r="H497" s="498">
        <f t="shared" si="169"/>
        <v>0</v>
      </c>
      <c r="I497" s="591">
        <f t="shared" si="169"/>
        <v>0</v>
      </c>
      <c r="J497" s="591">
        <f t="shared" si="169"/>
        <v>0</v>
      </c>
      <c r="K497" s="591">
        <f t="shared" si="148"/>
        <v>0</v>
      </c>
      <c r="L497" s="591">
        <f t="shared" si="149"/>
        <v>0</v>
      </c>
      <c r="M497" s="217">
        <f t="shared" si="154"/>
        <v>0</v>
      </c>
      <c r="N497" s="292"/>
      <c r="R497" s="591">
        <f t="shared" si="170"/>
        <v>0</v>
      </c>
      <c r="S497" s="591">
        <f t="shared" si="170"/>
        <v>0</v>
      </c>
      <c r="T497" s="309">
        <f t="shared" si="168"/>
        <v>0</v>
      </c>
      <c r="U497" s="498">
        <f t="shared" si="171"/>
        <v>150</v>
      </c>
      <c r="V497" s="498">
        <f t="shared" si="171"/>
        <v>0</v>
      </c>
      <c r="W497" s="310">
        <f>G497-I497</f>
        <v>0</v>
      </c>
      <c r="X497" s="310">
        <f>K497+W497</f>
        <v>0</v>
      </c>
    </row>
    <row r="498" spans="1:24" s="307" customFormat="1" ht="19.5" hidden="1" customHeight="1" x14ac:dyDescent="0.2">
      <c r="A498" s="451" t="s">
        <v>1279</v>
      </c>
      <c r="B498" s="306" t="s">
        <v>644</v>
      </c>
      <c r="C498" s="354" t="s">
        <v>621</v>
      </c>
      <c r="D498" s="354" t="s">
        <v>606</v>
      </c>
      <c r="E498" s="450">
        <v>8160100000</v>
      </c>
      <c r="F498" s="450"/>
      <c r="G498" s="498">
        <f t="shared" si="169"/>
        <v>0</v>
      </c>
      <c r="H498" s="498">
        <f t="shared" si="169"/>
        <v>0</v>
      </c>
      <c r="I498" s="591">
        <f t="shared" si="169"/>
        <v>0</v>
      </c>
      <c r="J498" s="591">
        <f t="shared" si="169"/>
        <v>0</v>
      </c>
      <c r="K498" s="591">
        <f t="shared" si="148"/>
        <v>0</v>
      </c>
      <c r="L498" s="591">
        <f t="shared" si="149"/>
        <v>0</v>
      </c>
      <c r="M498" s="217">
        <f t="shared" si="154"/>
        <v>0</v>
      </c>
      <c r="N498" s="292"/>
      <c r="R498" s="591">
        <f t="shared" si="170"/>
        <v>0</v>
      </c>
      <c r="S498" s="591">
        <f t="shared" si="170"/>
        <v>0</v>
      </c>
      <c r="T498" s="309"/>
      <c r="U498" s="498">
        <f t="shared" si="171"/>
        <v>150</v>
      </c>
      <c r="V498" s="498">
        <f t="shared" si="171"/>
        <v>0</v>
      </c>
      <c r="W498" s="310"/>
      <c r="X498" s="310"/>
    </row>
    <row r="499" spans="1:24" ht="19.5" hidden="1" customHeight="1" x14ac:dyDescent="0.2">
      <c r="A499" s="501" t="s">
        <v>1280</v>
      </c>
      <c r="B499" s="306" t="s">
        <v>644</v>
      </c>
      <c r="C499" s="354" t="s">
        <v>621</v>
      </c>
      <c r="D499" s="354" t="s">
        <v>606</v>
      </c>
      <c r="E499" s="450">
        <v>8160182910</v>
      </c>
      <c r="F499" s="450"/>
      <c r="G499" s="498">
        <f t="shared" si="169"/>
        <v>0</v>
      </c>
      <c r="H499" s="498">
        <f t="shared" si="169"/>
        <v>0</v>
      </c>
      <c r="I499" s="591">
        <f t="shared" si="169"/>
        <v>0</v>
      </c>
      <c r="J499" s="591">
        <f t="shared" si="169"/>
        <v>0</v>
      </c>
      <c r="K499" s="591">
        <f t="shared" si="148"/>
        <v>0</v>
      </c>
      <c r="L499" s="591">
        <f t="shared" si="149"/>
        <v>0</v>
      </c>
      <c r="M499" s="217">
        <f t="shared" si="154"/>
        <v>0</v>
      </c>
      <c r="N499" s="43"/>
      <c r="R499" s="591">
        <f t="shared" si="170"/>
        <v>0</v>
      </c>
      <c r="S499" s="591">
        <f t="shared" si="170"/>
        <v>0</v>
      </c>
      <c r="T499" s="217">
        <f>I499-G499</f>
        <v>0</v>
      </c>
      <c r="U499" s="498">
        <f t="shared" si="171"/>
        <v>150</v>
      </c>
      <c r="V499" s="498">
        <f t="shared" si="171"/>
        <v>0</v>
      </c>
      <c r="W499" s="203">
        <f>G499-I499</f>
        <v>0</v>
      </c>
      <c r="X499" s="203">
        <f>K499+W499</f>
        <v>0</v>
      </c>
    </row>
    <row r="500" spans="1:24" ht="12.75" hidden="1" customHeight="1" x14ac:dyDescent="0.2">
      <c r="A500" s="124" t="s">
        <v>834</v>
      </c>
      <c r="B500" s="243" t="s">
        <v>644</v>
      </c>
      <c r="C500" s="353" t="s">
        <v>621</v>
      </c>
      <c r="D500" s="353" t="s">
        <v>606</v>
      </c>
      <c r="E500" s="369">
        <v>8160182910</v>
      </c>
      <c r="F500" s="369">
        <v>540</v>
      </c>
      <c r="G500" s="288"/>
      <c r="H500" s="288"/>
      <c r="I500" s="288"/>
      <c r="J500" s="288"/>
      <c r="K500" s="43">
        <f t="shared" si="148"/>
        <v>0</v>
      </c>
      <c r="L500" s="43">
        <f t="shared" si="149"/>
        <v>0</v>
      </c>
      <c r="M500" s="217">
        <f t="shared" si="154"/>
        <v>0</v>
      </c>
      <c r="N500" s="42"/>
      <c r="R500" s="288"/>
      <c r="S500" s="288"/>
      <c r="T500" s="217"/>
      <c r="U500" s="288">
        <v>150</v>
      </c>
      <c r="V500" s="288">
        <v>0</v>
      </c>
      <c r="W500" s="203"/>
      <c r="X500" s="203"/>
    </row>
    <row r="501" spans="1:24" s="307" customFormat="1" ht="28.5" hidden="1" customHeight="1" x14ac:dyDescent="0.2">
      <c r="A501" s="451" t="s">
        <v>1299</v>
      </c>
      <c r="B501" s="306" t="s">
        <v>644</v>
      </c>
      <c r="C501" s="354" t="s">
        <v>621</v>
      </c>
      <c r="D501" s="354" t="s">
        <v>606</v>
      </c>
      <c r="E501" s="450" t="s">
        <v>729</v>
      </c>
      <c r="F501" s="450"/>
      <c r="G501" s="498">
        <f>G502+G505+G511+G514+G508</f>
        <v>0</v>
      </c>
      <c r="H501" s="498">
        <f>H502+H505+H511+H514+H508</f>
        <v>0</v>
      </c>
      <c r="I501" s="591">
        <f>I502+I505+I511+I514+I508</f>
        <v>0</v>
      </c>
      <c r="J501" s="591">
        <f>J502+J505+J511+J514+J508</f>
        <v>0</v>
      </c>
      <c r="K501" s="591">
        <f t="shared" si="148"/>
        <v>0</v>
      </c>
      <c r="L501" s="591">
        <f t="shared" si="149"/>
        <v>0</v>
      </c>
      <c r="M501" s="217">
        <f t="shared" si="154"/>
        <v>0</v>
      </c>
      <c r="N501" s="292"/>
      <c r="R501" s="591">
        <f>R502+R505+R511+R514+R508</f>
        <v>0</v>
      </c>
      <c r="S501" s="591">
        <f>S502+S505+S511+S514+S508</f>
        <v>0</v>
      </c>
      <c r="T501" s="309">
        <f t="shared" si="168"/>
        <v>0</v>
      </c>
      <c r="U501" s="498">
        <f>U502+U505+U511+U514+U508</f>
        <v>120</v>
      </c>
      <c r="V501" s="498">
        <f>V502+V505+V511+V514+V508</f>
        <v>0</v>
      </c>
      <c r="W501" s="310">
        <f t="shared" si="146"/>
        <v>0</v>
      </c>
      <c r="X501" s="310">
        <f t="shared" si="147"/>
        <v>0</v>
      </c>
    </row>
    <row r="502" spans="1:24" s="307" customFormat="1" ht="24.75" hidden="1" customHeight="1" x14ac:dyDescent="0.2">
      <c r="A502" s="451" t="s">
        <v>743</v>
      </c>
      <c r="B502" s="306" t="s">
        <v>644</v>
      </c>
      <c r="C502" s="354" t="s">
        <v>621</v>
      </c>
      <c r="D502" s="354" t="s">
        <v>606</v>
      </c>
      <c r="E502" s="450" t="s">
        <v>736</v>
      </c>
      <c r="F502" s="450"/>
      <c r="G502" s="498">
        <f t="shared" ref="G502:J503" si="172">G503</f>
        <v>0</v>
      </c>
      <c r="H502" s="498">
        <f t="shared" si="172"/>
        <v>0</v>
      </c>
      <c r="I502" s="591">
        <f t="shared" si="172"/>
        <v>0</v>
      </c>
      <c r="J502" s="591">
        <f t="shared" si="172"/>
        <v>0</v>
      </c>
      <c r="K502" s="591">
        <f t="shared" si="148"/>
        <v>0</v>
      </c>
      <c r="L502" s="591">
        <f t="shared" si="149"/>
        <v>0</v>
      </c>
      <c r="M502" s="217">
        <f t="shared" si="154"/>
        <v>0</v>
      </c>
      <c r="N502" s="292"/>
      <c r="R502" s="591">
        <f>R503</f>
        <v>0</v>
      </c>
      <c r="S502" s="591">
        <f>S503</f>
        <v>0</v>
      </c>
      <c r="T502" s="309">
        <f t="shared" si="168"/>
        <v>0</v>
      </c>
      <c r="U502" s="498">
        <f>U503</f>
        <v>0</v>
      </c>
      <c r="V502" s="498">
        <f>V503</f>
        <v>0</v>
      </c>
      <c r="W502" s="310">
        <f t="shared" si="146"/>
        <v>0</v>
      </c>
      <c r="X502" s="310">
        <f t="shared" si="147"/>
        <v>0</v>
      </c>
    </row>
    <row r="503" spans="1:24" s="307" customFormat="1" ht="42.75" hidden="1" customHeight="1" x14ac:dyDescent="0.2">
      <c r="A503" s="539" t="s">
        <v>1436</v>
      </c>
      <c r="B503" s="306" t="s">
        <v>644</v>
      </c>
      <c r="C503" s="354" t="s">
        <v>621</v>
      </c>
      <c r="D503" s="354" t="s">
        <v>606</v>
      </c>
      <c r="E503" s="450" t="s">
        <v>737</v>
      </c>
      <c r="F503" s="450"/>
      <c r="G503" s="498">
        <f t="shared" si="172"/>
        <v>0</v>
      </c>
      <c r="H503" s="498">
        <f t="shared" si="172"/>
        <v>0</v>
      </c>
      <c r="I503" s="591">
        <f t="shared" si="172"/>
        <v>0</v>
      </c>
      <c r="J503" s="591">
        <f t="shared" si="172"/>
        <v>0</v>
      </c>
      <c r="K503" s="591">
        <f t="shared" ref="K503:K566" si="173">I503-G503</f>
        <v>0</v>
      </c>
      <c r="L503" s="591">
        <f t="shared" ref="L503:L566" si="174">J503-H503</f>
        <v>0</v>
      </c>
      <c r="M503" s="217">
        <f t="shared" si="154"/>
        <v>0</v>
      </c>
      <c r="N503" s="292"/>
      <c r="R503" s="591">
        <f>R504</f>
        <v>0</v>
      </c>
      <c r="S503" s="591">
        <f>S504</f>
        <v>0</v>
      </c>
      <c r="T503" s="309">
        <f t="shared" si="168"/>
        <v>0</v>
      </c>
      <c r="U503" s="498">
        <f>U504</f>
        <v>0</v>
      </c>
      <c r="V503" s="498">
        <f>V504</f>
        <v>0</v>
      </c>
      <c r="W503" s="310">
        <f t="shared" si="146"/>
        <v>0</v>
      </c>
      <c r="X503" s="310">
        <f t="shared" si="147"/>
        <v>0</v>
      </c>
    </row>
    <row r="504" spans="1:24" ht="12.75" hidden="1" customHeight="1" x14ac:dyDescent="0.2">
      <c r="A504" s="124" t="s">
        <v>164</v>
      </c>
      <c r="B504" s="243" t="s">
        <v>644</v>
      </c>
      <c r="C504" s="353" t="s">
        <v>621</v>
      </c>
      <c r="D504" s="353" t="s">
        <v>606</v>
      </c>
      <c r="E504" s="369" t="s">
        <v>737</v>
      </c>
      <c r="F504" s="369" t="s">
        <v>132</v>
      </c>
      <c r="G504" s="288">
        <v>0</v>
      </c>
      <c r="H504" s="288"/>
      <c r="I504" s="288">
        <v>0</v>
      </c>
      <c r="J504" s="288"/>
      <c r="K504" s="43">
        <f t="shared" si="173"/>
        <v>0</v>
      </c>
      <c r="L504" s="43">
        <f t="shared" si="174"/>
        <v>0</v>
      </c>
      <c r="M504" s="217">
        <f t="shared" si="154"/>
        <v>0</v>
      </c>
      <c r="N504" s="42"/>
      <c r="R504" s="288">
        <v>0</v>
      </c>
      <c r="S504" s="288"/>
      <c r="T504" s="217">
        <f t="shared" si="168"/>
        <v>0</v>
      </c>
      <c r="U504" s="288">
        <v>0</v>
      </c>
      <c r="V504" s="288"/>
      <c r="W504" s="203">
        <f t="shared" si="146"/>
        <v>0</v>
      </c>
      <c r="X504" s="203">
        <f t="shared" si="147"/>
        <v>0</v>
      </c>
    </row>
    <row r="505" spans="1:24" s="307" customFormat="1" ht="12.75" hidden="1" customHeight="1" x14ac:dyDescent="0.2">
      <c r="A505" s="451" t="s">
        <v>520</v>
      </c>
      <c r="B505" s="306" t="s">
        <v>644</v>
      </c>
      <c r="C505" s="354" t="s">
        <v>621</v>
      </c>
      <c r="D505" s="354" t="s">
        <v>606</v>
      </c>
      <c r="E505" s="450" t="s">
        <v>746</v>
      </c>
      <c r="F505" s="450"/>
      <c r="G505" s="498">
        <f t="shared" ref="G505:J506" si="175">G506</f>
        <v>0</v>
      </c>
      <c r="H505" s="498">
        <f t="shared" si="175"/>
        <v>0</v>
      </c>
      <c r="I505" s="591">
        <f t="shared" si="175"/>
        <v>0</v>
      </c>
      <c r="J505" s="591">
        <f t="shared" si="175"/>
        <v>0</v>
      </c>
      <c r="K505" s="591">
        <f t="shared" si="173"/>
        <v>0</v>
      </c>
      <c r="L505" s="591">
        <f t="shared" si="174"/>
        <v>0</v>
      </c>
      <c r="M505" s="217">
        <f t="shared" si="154"/>
        <v>0</v>
      </c>
      <c r="N505" s="292"/>
      <c r="R505" s="591">
        <f>R506</f>
        <v>0</v>
      </c>
      <c r="S505" s="591">
        <f>S506</f>
        <v>0</v>
      </c>
      <c r="T505" s="309">
        <f t="shared" si="168"/>
        <v>0</v>
      </c>
      <c r="U505" s="498">
        <f>U506</f>
        <v>0</v>
      </c>
      <c r="V505" s="498">
        <f>V506</f>
        <v>0</v>
      </c>
      <c r="W505" s="310">
        <f t="shared" si="146"/>
        <v>0</v>
      </c>
      <c r="X505" s="310">
        <f t="shared" si="147"/>
        <v>0</v>
      </c>
    </row>
    <row r="506" spans="1:24" s="307" customFormat="1" ht="42.75" hidden="1" customHeight="1" x14ac:dyDescent="0.2">
      <c r="A506" s="539" t="s">
        <v>1436</v>
      </c>
      <c r="B506" s="306" t="s">
        <v>644</v>
      </c>
      <c r="C506" s="354" t="s">
        <v>621</v>
      </c>
      <c r="D506" s="354" t="s">
        <v>606</v>
      </c>
      <c r="E506" s="450" t="s">
        <v>747</v>
      </c>
      <c r="F506" s="450"/>
      <c r="G506" s="498">
        <f t="shared" si="175"/>
        <v>0</v>
      </c>
      <c r="H506" s="498">
        <f t="shared" si="175"/>
        <v>0</v>
      </c>
      <c r="I506" s="591">
        <f t="shared" si="175"/>
        <v>0</v>
      </c>
      <c r="J506" s="591">
        <f t="shared" si="175"/>
        <v>0</v>
      </c>
      <c r="K506" s="591">
        <f t="shared" si="173"/>
        <v>0</v>
      </c>
      <c r="L506" s="591">
        <f t="shared" si="174"/>
        <v>0</v>
      </c>
      <c r="M506" s="217">
        <f t="shared" si="154"/>
        <v>0</v>
      </c>
      <c r="N506" s="292"/>
      <c r="R506" s="591">
        <f>R507</f>
        <v>0</v>
      </c>
      <c r="S506" s="591">
        <f>S507</f>
        <v>0</v>
      </c>
      <c r="T506" s="309">
        <f t="shared" si="168"/>
        <v>0</v>
      </c>
      <c r="U506" s="498">
        <f>U507</f>
        <v>0</v>
      </c>
      <c r="V506" s="498">
        <f>V507</f>
        <v>0</v>
      </c>
      <c r="W506" s="310">
        <f t="shared" si="146"/>
        <v>0</v>
      </c>
      <c r="X506" s="310">
        <f t="shared" si="147"/>
        <v>0</v>
      </c>
    </row>
    <row r="507" spans="1:24" ht="12.75" hidden="1" customHeight="1" x14ac:dyDescent="0.2">
      <c r="A507" s="124" t="s">
        <v>164</v>
      </c>
      <c r="B507" s="243" t="s">
        <v>644</v>
      </c>
      <c r="C507" s="353" t="s">
        <v>621</v>
      </c>
      <c r="D507" s="353" t="s">
        <v>606</v>
      </c>
      <c r="E507" s="369" t="s">
        <v>747</v>
      </c>
      <c r="F507" s="369" t="s">
        <v>132</v>
      </c>
      <c r="G507" s="288"/>
      <c r="H507" s="288"/>
      <c r="I507" s="288"/>
      <c r="J507" s="288"/>
      <c r="K507" s="43">
        <f t="shared" si="173"/>
        <v>0</v>
      </c>
      <c r="L507" s="43">
        <f t="shared" si="174"/>
        <v>0</v>
      </c>
      <c r="M507" s="217">
        <f t="shared" si="154"/>
        <v>0</v>
      </c>
      <c r="N507" s="42"/>
      <c r="R507" s="288"/>
      <c r="S507" s="288"/>
      <c r="T507" s="217">
        <f t="shared" si="168"/>
        <v>0</v>
      </c>
      <c r="U507" s="288"/>
      <c r="V507" s="288"/>
      <c r="W507" s="203">
        <f t="shared" si="146"/>
        <v>0</v>
      </c>
      <c r="X507" s="203">
        <f t="shared" si="147"/>
        <v>0</v>
      </c>
    </row>
    <row r="508" spans="1:24" s="307" customFormat="1" ht="38.25" hidden="1" customHeight="1" x14ac:dyDescent="0.2">
      <c r="A508" s="451" t="s">
        <v>870</v>
      </c>
      <c r="B508" s="306" t="s">
        <v>644</v>
      </c>
      <c r="C508" s="354" t="s">
        <v>621</v>
      </c>
      <c r="D508" s="354" t="s">
        <v>606</v>
      </c>
      <c r="E508" s="450" t="s">
        <v>740</v>
      </c>
      <c r="F508" s="450"/>
      <c r="G508" s="498">
        <f t="shared" ref="G508:J509" si="176">G509</f>
        <v>0</v>
      </c>
      <c r="H508" s="498">
        <f t="shared" si="176"/>
        <v>0</v>
      </c>
      <c r="I508" s="591">
        <f t="shared" si="176"/>
        <v>0</v>
      </c>
      <c r="J508" s="591">
        <f t="shared" si="176"/>
        <v>0</v>
      </c>
      <c r="K508" s="591">
        <f t="shared" si="173"/>
        <v>0</v>
      </c>
      <c r="L508" s="591">
        <f t="shared" si="174"/>
        <v>0</v>
      </c>
      <c r="M508" s="217">
        <f t="shared" si="154"/>
        <v>0</v>
      </c>
      <c r="N508" s="292"/>
      <c r="R508" s="591">
        <f>R509</f>
        <v>0</v>
      </c>
      <c r="S508" s="591">
        <f>S509</f>
        <v>0</v>
      </c>
      <c r="T508" s="309"/>
      <c r="U508" s="498">
        <f>U509</f>
        <v>0</v>
      </c>
      <c r="V508" s="498">
        <f>V509</f>
        <v>0</v>
      </c>
      <c r="W508" s="310">
        <f t="shared" si="146"/>
        <v>0</v>
      </c>
      <c r="X508" s="310">
        <f t="shared" si="147"/>
        <v>0</v>
      </c>
    </row>
    <row r="509" spans="1:24" s="307" customFormat="1" ht="12.75" hidden="1" customHeight="1" x14ac:dyDescent="0.2">
      <c r="A509" s="451" t="s">
        <v>734</v>
      </c>
      <c r="B509" s="306" t="s">
        <v>644</v>
      </c>
      <c r="C509" s="354" t="s">
        <v>621</v>
      </c>
      <c r="D509" s="354" t="s">
        <v>606</v>
      </c>
      <c r="E509" s="450" t="s">
        <v>869</v>
      </c>
      <c r="F509" s="450"/>
      <c r="G509" s="498">
        <f t="shared" si="176"/>
        <v>0</v>
      </c>
      <c r="H509" s="498">
        <f t="shared" si="176"/>
        <v>0</v>
      </c>
      <c r="I509" s="591">
        <f t="shared" si="176"/>
        <v>0</v>
      </c>
      <c r="J509" s="591">
        <f t="shared" si="176"/>
        <v>0</v>
      </c>
      <c r="K509" s="591">
        <f t="shared" si="173"/>
        <v>0</v>
      </c>
      <c r="L509" s="591">
        <f t="shared" si="174"/>
        <v>0</v>
      </c>
      <c r="M509" s="217">
        <f t="shared" si="154"/>
        <v>0</v>
      </c>
      <c r="N509" s="292"/>
      <c r="R509" s="591">
        <f>R510</f>
        <v>0</v>
      </c>
      <c r="S509" s="591">
        <f>S510</f>
        <v>0</v>
      </c>
      <c r="T509" s="309"/>
      <c r="U509" s="498">
        <f>U510</f>
        <v>0</v>
      </c>
      <c r="V509" s="498">
        <f>V510</f>
        <v>0</v>
      </c>
      <c r="W509" s="310">
        <f t="shared" si="146"/>
        <v>0</v>
      </c>
      <c r="X509" s="310">
        <f t="shared" si="147"/>
        <v>0</v>
      </c>
    </row>
    <row r="510" spans="1:24" ht="12.75" hidden="1" customHeight="1" x14ac:dyDescent="0.2">
      <c r="A510" s="124" t="s">
        <v>164</v>
      </c>
      <c r="B510" s="243" t="s">
        <v>644</v>
      </c>
      <c r="C510" s="353" t="s">
        <v>621</v>
      </c>
      <c r="D510" s="353" t="s">
        <v>606</v>
      </c>
      <c r="E510" s="369" t="s">
        <v>869</v>
      </c>
      <c r="F510" s="369" t="s">
        <v>132</v>
      </c>
      <c r="G510" s="288"/>
      <c r="H510" s="288"/>
      <c r="I510" s="288"/>
      <c r="J510" s="288"/>
      <c r="K510" s="43">
        <f t="shared" si="173"/>
        <v>0</v>
      </c>
      <c r="L510" s="43">
        <f t="shared" si="174"/>
        <v>0</v>
      </c>
      <c r="M510" s="217">
        <f t="shared" si="154"/>
        <v>0</v>
      </c>
      <c r="N510" s="42"/>
      <c r="R510" s="288"/>
      <c r="S510" s="288"/>
      <c r="T510" s="217"/>
      <c r="U510" s="288"/>
      <c r="V510" s="288"/>
      <c r="W510" s="203">
        <f t="shared" si="146"/>
        <v>0</v>
      </c>
      <c r="X510" s="203">
        <f t="shared" si="147"/>
        <v>0</v>
      </c>
    </row>
    <row r="511" spans="1:24" s="307" customFormat="1" ht="16.5" hidden="1" customHeight="1" x14ac:dyDescent="0.2">
      <c r="A511" s="451" t="s">
        <v>749</v>
      </c>
      <c r="B511" s="306" t="s">
        <v>644</v>
      </c>
      <c r="C511" s="354" t="s">
        <v>621</v>
      </c>
      <c r="D511" s="354" t="s">
        <v>606</v>
      </c>
      <c r="E511" s="450" t="s">
        <v>730</v>
      </c>
      <c r="F511" s="450"/>
      <c r="G511" s="498">
        <f t="shared" ref="G511:J512" si="177">G512</f>
        <v>0</v>
      </c>
      <c r="H511" s="498">
        <f t="shared" si="177"/>
        <v>0</v>
      </c>
      <c r="I511" s="591">
        <f t="shared" si="177"/>
        <v>0</v>
      </c>
      <c r="J511" s="591">
        <f t="shared" si="177"/>
        <v>0</v>
      </c>
      <c r="K511" s="591">
        <f t="shared" si="173"/>
        <v>0</v>
      </c>
      <c r="L511" s="591">
        <f t="shared" si="174"/>
        <v>0</v>
      </c>
      <c r="M511" s="217">
        <f t="shared" si="154"/>
        <v>0</v>
      </c>
      <c r="N511" s="292"/>
      <c r="R511" s="591">
        <f>R512</f>
        <v>0</v>
      </c>
      <c r="S511" s="591">
        <f>S512</f>
        <v>0</v>
      </c>
      <c r="T511" s="309">
        <f t="shared" ref="T511:T534" si="178">I511-G511</f>
        <v>0</v>
      </c>
      <c r="U511" s="498">
        <f>U512</f>
        <v>0</v>
      </c>
      <c r="V511" s="498">
        <f>V512</f>
        <v>0</v>
      </c>
      <c r="W511" s="310">
        <f t="shared" si="146"/>
        <v>0</v>
      </c>
      <c r="X511" s="310">
        <f t="shared" si="147"/>
        <v>0</v>
      </c>
    </row>
    <row r="512" spans="1:24" s="307" customFormat="1" ht="15.75" hidden="1" customHeight="1" x14ac:dyDescent="0.2">
      <c r="A512" s="451" t="s">
        <v>734</v>
      </c>
      <c r="B512" s="306" t="s">
        <v>644</v>
      </c>
      <c r="C512" s="354" t="s">
        <v>621</v>
      </c>
      <c r="D512" s="354" t="s">
        <v>606</v>
      </c>
      <c r="E512" s="450" t="s">
        <v>731</v>
      </c>
      <c r="F512" s="450"/>
      <c r="G512" s="498">
        <f t="shared" si="177"/>
        <v>0</v>
      </c>
      <c r="H512" s="498">
        <f t="shared" si="177"/>
        <v>0</v>
      </c>
      <c r="I512" s="591">
        <f t="shared" si="177"/>
        <v>0</v>
      </c>
      <c r="J512" s="591">
        <f t="shared" si="177"/>
        <v>0</v>
      </c>
      <c r="K512" s="591">
        <f t="shared" si="173"/>
        <v>0</v>
      </c>
      <c r="L512" s="591">
        <f t="shared" si="174"/>
        <v>0</v>
      </c>
      <c r="M512" s="217">
        <f t="shared" si="154"/>
        <v>0</v>
      </c>
      <c r="N512" s="292"/>
      <c r="R512" s="591">
        <f>R513</f>
        <v>0</v>
      </c>
      <c r="S512" s="591">
        <f>S513</f>
        <v>0</v>
      </c>
      <c r="T512" s="309">
        <f t="shared" si="178"/>
        <v>0</v>
      </c>
      <c r="U512" s="498">
        <f>U513</f>
        <v>0</v>
      </c>
      <c r="V512" s="498">
        <f>V513</f>
        <v>0</v>
      </c>
      <c r="W512" s="310">
        <f t="shared" si="146"/>
        <v>0</v>
      </c>
      <c r="X512" s="310">
        <f t="shared" si="147"/>
        <v>0</v>
      </c>
    </row>
    <row r="513" spans="1:24" ht="12.75" hidden="1" customHeight="1" x14ac:dyDescent="0.2">
      <c r="A513" s="124" t="s">
        <v>164</v>
      </c>
      <c r="B513" s="243" t="s">
        <v>644</v>
      </c>
      <c r="C513" s="353" t="s">
        <v>621</v>
      </c>
      <c r="D513" s="353" t="s">
        <v>606</v>
      </c>
      <c r="E513" s="369" t="s">
        <v>731</v>
      </c>
      <c r="F513" s="369" t="s">
        <v>132</v>
      </c>
      <c r="G513" s="288"/>
      <c r="H513" s="288"/>
      <c r="I513" s="288"/>
      <c r="J513" s="288"/>
      <c r="K513" s="43">
        <f t="shared" si="173"/>
        <v>0</v>
      </c>
      <c r="L513" s="43">
        <f t="shared" si="174"/>
        <v>0</v>
      </c>
      <c r="M513" s="217">
        <f t="shared" si="154"/>
        <v>0</v>
      </c>
      <c r="N513" s="42"/>
      <c r="R513" s="288"/>
      <c r="S513" s="288"/>
      <c r="T513" s="217">
        <f t="shared" si="178"/>
        <v>0</v>
      </c>
      <c r="U513" s="288"/>
      <c r="V513" s="288"/>
      <c r="W513" s="203">
        <f t="shared" si="146"/>
        <v>0</v>
      </c>
      <c r="X513" s="203">
        <f t="shared" si="147"/>
        <v>0</v>
      </c>
    </row>
    <row r="514" spans="1:24" s="307" customFormat="1" ht="27.75" hidden="1" customHeight="1" x14ac:dyDescent="0.2">
      <c r="A514" s="451" t="s">
        <v>745</v>
      </c>
      <c r="B514" s="306" t="s">
        <v>644</v>
      </c>
      <c r="C514" s="354" t="s">
        <v>621</v>
      </c>
      <c r="D514" s="354" t="s">
        <v>606</v>
      </c>
      <c r="E514" s="450" t="s">
        <v>742</v>
      </c>
      <c r="F514" s="450"/>
      <c r="G514" s="498">
        <f t="shared" ref="G514:J515" si="179">G515</f>
        <v>0</v>
      </c>
      <c r="H514" s="498">
        <f t="shared" si="179"/>
        <v>0</v>
      </c>
      <c r="I514" s="591">
        <f t="shared" si="179"/>
        <v>0</v>
      </c>
      <c r="J514" s="591">
        <f t="shared" si="179"/>
        <v>0</v>
      </c>
      <c r="K514" s="591">
        <f t="shared" si="173"/>
        <v>0</v>
      </c>
      <c r="L514" s="591">
        <f t="shared" si="174"/>
        <v>0</v>
      </c>
      <c r="M514" s="217">
        <f t="shared" si="154"/>
        <v>0</v>
      </c>
      <c r="N514" s="292"/>
      <c r="R514" s="591">
        <f>R515</f>
        <v>0</v>
      </c>
      <c r="S514" s="591">
        <f>S515</f>
        <v>0</v>
      </c>
      <c r="T514" s="309">
        <f t="shared" si="178"/>
        <v>0</v>
      </c>
      <c r="U514" s="498">
        <f>U515</f>
        <v>120</v>
      </c>
      <c r="V514" s="498">
        <f>V515</f>
        <v>0</v>
      </c>
      <c r="W514" s="310">
        <f t="shared" si="146"/>
        <v>0</v>
      </c>
      <c r="X514" s="310">
        <f t="shared" si="147"/>
        <v>0</v>
      </c>
    </row>
    <row r="515" spans="1:24" s="307" customFormat="1" ht="15" hidden="1" customHeight="1" x14ac:dyDescent="0.2">
      <c r="A515" s="451" t="s">
        <v>734</v>
      </c>
      <c r="B515" s="306" t="s">
        <v>644</v>
      </c>
      <c r="C515" s="354" t="s">
        <v>621</v>
      </c>
      <c r="D515" s="354" t="s">
        <v>606</v>
      </c>
      <c r="E515" s="450">
        <v>8200882460</v>
      </c>
      <c r="F515" s="450"/>
      <c r="G515" s="498">
        <f t="shared" si="179"/>
        <v>0</v>
      </c>
      <c r="H515" s="498">
        <f t="shared" si="179"/>
        <v>0</v>
      </c>
      <c r="I515" s="591">
        <f t="shared" si="179"/>
        <v>0</v>
      </c>
      <c r="J515" s="591">
        <f t="shared" si="179"/>
        <v>0</v>
      </c>
      <c r="K515" s="591">
        <f t="shared" si="173"/>
        <v>0</v>
      </c>
      <c r="L515" s="591">
        <f t="shared" si="174"/>
        <v>0</v>
      </c>
      <c r="M515" s="217">
        <f t="shared" si="154"/>
        <v>0</v>
      </c>
      <c r="N515" s="292"/>
      <c r="R515" s="591">
        <f>R516</f>
        <v>0</v>
      </c>
      <c r="S515" s="591">
        <f>S516</f>
        <v>0</v>
      </c>
      <c r="T515" s="309">
        <f t="shared" si="178"/>
        <v>0</v>
      </c>
      <c r="U515" s="498">
        <f>U516</f>
        <v>120</v>
      </c>
      <c r="V515" s="498">
        <f>V516</f>
        <v>0</v>
      </c>
      <c r="W515" s="310">
        <f t="shared" si="146"/>
        <v>0</v>
      </c>
      <c r="X515" s="310">
        <f t="shared" si="147"/>
        <v>0</v>
      </c>
    </row>
    <row r="516" spans="1:24" ht="12.75" hidden="1" customHeight="1" x14ac:dyDescent="0.2">
      <c r="A516" s="124" t="s">
        <v>164</v>
      </c>
      <c r="B516" s="243" t="s">
        <v>644</v>
      </c>
      <c r="C516" s="353" t="s">
        <v>621</v>
      </c>
      <c r="D516" s="353" t="s">
        <v>606</v>
      </c>
      <c r="E516" s="369">
        <v>8200882460</v>
      </c>
      <c r="F516" s="369" t="s">
        <v>132</v>
      </c>
      <c r="G516" s="288">
        <v>0</v>
      </c>
      <c r="H516" s="288"/>
      <c r="I516" s="288">
        <v>0</v>
      </c>
      <c r="J516" s="288"/>
      <c r="K516" s="43">
        <f t="shared" si="173"/>
        <v>0</v>
      </c>
      <c r="L516" s="43">
        <f t="shared" si="174"/>
        <v>0</v>
      </c>
      <c r="M516" s="217">
        <f t="shared" ref="M516:M588" si="180">I516-G516-K516</f>
        <v>0</v>
      </c>
      <c r="N516" s="42"/>
      <c r="R516" s="288">
        <v>0</v>
      </c>
      <c r="S516" s="288"/>
      <c r="T516" s="217">
        <f t="shared" si="178"/>
        <v>0</v>
      </c>
      <c r="U516" s="288">
        <v>120</v>
      </c>
      <c r="V516" s="288">
        <v>0</v>
      </c>
      <c r="W516" s="203">
        <f t="shared" si="146"/>
        <v>0</v>
      </c>
      <c r="X516" s="203">
        <f t="shared" si="147"/>
        <v>0</v>
      </c>
    </row>
    <row r="517" spans="1:24" s="307" customFormat="1" ht="12.75" hidden="1" customHeight="1" x14ac:dyDescent="0.2">
      <c r="A517" s="451" t="s">
        <v>65</v>
      </c>
      <c r="B517" s="306" t="s">
        <v>644</v>
      </c>
      <c r="C517" s="354" t="s">
        <v>621</v>
      </c>
      <c r="D517" s="354" t="s">
        <v>606</v>
      </c>
      <c r="E517" s="450" t="s">
        <v>312</v>
      </c>
      <c r="F517" s="450"/>
      <c r="G517" s="498">
        <f>G518+G520+G522+G524</f>
        <v>0</v>
      </c>
      <c r="H517" s="498">
        <f>H518+H520+H522+H524</f>
        <v>0</v>
      </c>
      <c r="I517" s="591">
        <f>I518+I520+I522+I524</f>
        <v>0</v>
      </c>
      <c r="J517" s="591">
        <f>J518+J520+J522+J524</f>
        <v>0</v>
      </c>
      <c r="K517" s="591">
        <f t="shared" si="173"/>
        <v>0</v>
      </c>
      <c r="L517" s="591">
        <f t="shared" si="174"/>
        <v>0</v>
      </c>
      <c r="M517" s="217">
        <f t="shared" si="180"/>
        <v>0</v>
      </c>
      <c r="N517" s="292">
        <f>N518</f>
        <v>77.400000000000006</v>
      </c>
      <c r="R517" s="591">
        <f>R518+R520+R522+R524</f>
        <v>0</v>
      </c>
      <c r="S517" s="591">
        <f>S518+S520+S522+S524</f>
        <v>0</v>
      </c>
      <c r="T517" s="309">
        <f t="shared" si="178"/>
        <v>0</v>
      </c>
      <c r="U517" s="498">
        <f>U518+U520+U522+U524</f>
        <v>0</v>
      </c>
      <c r="V517" s="498">
        <f>V518+V520+V522+V524</f>
        <v>0</v>
      </c>
      <c r="W517" s="310">
        <f t="shared" si="146"/>
        <v>0</v>
      </c>
      <c r="X517" s="310">
        <f t="shared" si="147"/>
        <v>0</v>
      </c>
    </row>
    <row r="518" spans="1:24" s="307" customFormat="1" ht="24" hidden="1" customHeight="1" x14ac:dyDescent="0.2">
      <c r="A518" s="451" t="s">
        <v>337</v>
      </c>
      <c r="B518" s="306" t="s">
        <v>644</v>
      </c>
      <c r="C518" s="354" t="s">
        <v>621</v>
      </c>
      <c r="D518" s="354" t="s">
        <v>606</v>
      </c>
      <c r="E518" s="450" t="s">
        <v>545</v>
      </c>
      <c r="F518" s="450"/>
      <c r="G518" s="498">
        <f>G519</f>
        <v>0</v>
      </c>
      <c r="H518" s="498">
        <f>H519</f>
        <v>0</v>
      </c>
      <c r="I518" s="591">
        <f>I519</f>
        <v>0</v>
      </c>
      <c r="J518" s="591">
        <f>J519</f>
        <v>0</v>
      </c>
      <c r="K518" s="591">
        <f t="shared" si="173"/>
        <v>0</v>
      </c>
      <c r="L518" s="591">
        <f t="shared" si="174"/>
        <v>0</v>
      </c>
      <c r="M518" s="217">
        <f t="shared" si="180"/>
        <v>0</v>
      </c>
      <c r="N518" s="292">
        <f>N519</f>
        <v>77.400000000000006</v>
      </c>
      <c r="R518" s="591">
        <f>R519</f>
        <v>0</v>
      </c>
      <c r="S518" s="591">
        <f>S519</f>
        <v>0</v>
      </c>
      <c r="T518" s="309">
        <f t="shared" si="178"/>
        <v>0</v>
      </c>
      <c r="U518" s="498">
        <f>U519</f>
        <v>0</v>
      </c>
      <c r="V518" s="498">
        <f>V519</f>
        <v>0</v>
      </c>
      <c r="W518" s="310">
        <f t="shared" si="146"/>
        <v>0</v>
      </c>
      <c r="X518" s="310">
        <f t="shared" si="147"/>
        <v>0</v>
      </c>
    </row>
    <row r="519" spans="1:24" ht="12.75" hidden="1" customHeight="1" x14ac:dyDescent="0.2">
      <c r="A519" s="124" t="s">
        <v>164</v>
      </c>
      <c r="B519" s="243" t="s">
        <v>644</v>
      </c>
      <c r="C519" s="353" t="s">
        <v>621</v>
      </c>
      <c r="D519" s="353" t="s">
        <v>606</v>
      </c>
      <c r="E519" s="369" t="s">
        <v>545</v>
      </c>
      <c r="F519" s="369" t="s">
        <v>132</v>
      </c>
      <c r="G519" s="288"/>
      <c r="H519" s="288"/>
      <c r="I519" s="288"/>
      <c r="J519" s="288"/>
      <c r="K519" s="43">
        <f t="shared" si="173"/>
        <v>0</v>
      </c>
      <c r="L519" s="43">
        <f t="shared" si="174"/>
        <v>0</v>
      </c>
      <c r="M519" s="217">
        <f t="shared" si="180"/>
        <v>0</v>
      </c>
      <c r="N519" s="43">
        <v>77.400000000000006</v>
      </c>
      <c r="R519" s="288"/>
      <c r="S519" s="288"/>
      <c r="T519" s="217">
        <f t="shared" si="178"/>
        <v>0</v>
      </c>
      <c r="U519" s="288"/>
      <c r="V519" s="288"/>
      <c r="W519" s="203">
        <f t="shared" ref="W519:W591" si="181">G519-I519</f>
        <v>0</v>
      </c>
      <c r="X519" s="203">
        <f t="shared" ref="X519:X591" si="182">K519+W519</f>
        <v>0</v>
      </c>
    </row>
    <row r="520" spans="1:24" s="307" customFormat="1" ht="28.5" hidden="1" customHeight="1" x14ac:dyDescent="0.2">
      <c r="A520" s="451" t="s">
        <v>702</v>
      </c>
      <c r="B520" s="306" t="s">
        <v>644</v>
      </c>
      <c r="C520" s="354" t="s">
        <v>621</v>
      </c>
      <c r="D520" s="354" t="s">
        <v>606</v>
      </c>
      <c r="E520" s="450" t="s">
        <v>704</v>
      </c>
      <c r="F520" s="450"/>
      <c r="G520" s="498">
        <f>G521</f>
        <v>0</v>
      </c>
      <c r="H520" s="498">
        <f>H521</f>
        <v>0</v>
      </c>
      <c r="I520" s="591">
        <f>I521</f>
        <v>0</v>
      </c>
      <c r="J520" s="591">
        <f>J521</f>
        <v>0</v>
      </c>
      <c r="K520" s="591">
        <f t="shared" si="173"/>
        <v>0</v>
      </c>
      <c r="L520" s="591">
        <f t="shared" si="174"/>
        <v>0</v>
      </c>
      <c r="M520" s="217">
        <f t="shared" si="180"/>
        <v>0</v>
      </c>
      <c r="N520" s="292"/>
      <c r="R520" s="591">
        <f>R521</f>
        <v>0</v>
      </c>
      <c r="S520" s="591">
        <f>S521</f>
        <v>0</v>
      </c>
      <c r="T520" s="309">
        <f t="shared" si="178"/>
        <v>0</v>
      </c>
      <c r="U520" s="498">
        <f>U521</f>
        <v>0</v>
      </c>
      <c r="V520" s="498">
        <f>V521</f>
        <v>0</v>
      </c>
      <c r="W520" s="310">
        <f t="shared" si="181"/>
        <v>0</v>
      </c>
      <c r="X520" s="310">
        <f t="shared" si="182"/>
        <v>0</v>
      </c>
    </row>
    <row r="521" spans="1:24" ht="12.75" hidden="1" customHeight="1" x14ac:dyDescent="0.2">
      <c r="A521" s="124" t="s">
        <v>164</v>
      </c>
      <c r="B521" s="243" t="s">
        <v>644</v>
      </c>
      <c r="C521" s="353" t="s">
        <v>621</v>
      </c>
      <c r="D521" s="353" t="s">
        <v>606</v>
      </c>
      <c r="E521" s="369" t="s">
        <v>704</v>
      </c>
      <c r="F521" s="369" t="s">
        <v>132</v>
      </c>
      <c r="G521" s="288">
        <v>0</v>
      </c>
      <c r="H521" s="288">
        <v>0</v>
      </c>
      <c r="I521" s="288">
        <v>0</v>
      </c>
      <c r="J521" s="288">
        <v>0</v>
      </c>
      <c r="K521" s="43">
        <f t="shared" si="173"/>
        <v>0</v>
      </c>
      <c r="L521" s="43">
        <f t="shared" si="174"/>
        <v>0</v>
      </c>
      <c r="M521" s="217">
        <f t="shared" si="180"/>
        <v>0</v>
      </c>
      <c r="N521" s="43"/>
      <c r="R521" s="288">
        <v>0</v>
      </c>
      <c r="S521" s="288">
        <v>0</v>
      </c>
      <c r="T521" s="217">
        <f t="shared" si="178"/>
        <v>0</v>
      </c>
      <c r="U521" s="288">
        <v>0</v>
      </c>
      <c r="V521" s="288">
        <v>0</v>
      </c>
      <c r="W521" s="203">
        <f t="shared" si="181"/>
        <v>0</v>
      </c>
      <c r="X521" s="203">
        <f t="shared" si="182"/>
        <v>0</v>
      </c>
    </row>
    <row r="522" spans="1:24" s="307" customFormat="1" ht="27.75" hidden="1" customHeight="1" x14ac:dyDescent="0.2">
      <c r="A522" s="451" t="s">
        <v>702</v>
      </c>
      <c r="B522" s="306" t="s">
        <v>644</v>
      </c>
      <c r="C522" s="354" t="s">
        <v>621</v>
      </c>
      <c r="D522" s="354" t="s">
        <v>606</v>
      </c>
      <c r="E522" s="450" t="s">
        <v>705</v>
      </c>
      <c r="F522" s="450"/>
      <c r="G522" s="498">
        <f>G523</f>
        <v>0</v>
      </c>
      <c r="H522" s="498">
        <f>H523</f>
        <v>0</v>
      </c>
      <c r="I522" s="591">
        <f>I523</f>
        <v>0</v>
      </c>
      <c r="J522" s="591">
        <f>J523</f>
        <v>0</v>
      </c>
      <c r="K522" s="591">
        <f t="shared" si="173"/>
        <v>0</v>
      </c>
      <c r="L522" s="591">
        <f t="shared" si="174"/>
        <v>0</v>
      </c>
      <c r="M522" s="217">
        <f t="shared" si="180"/>
        <v>0</v>
      </c>
      <c r="N522" s="292"/>
      <c r="O522" s="313"/>
      <c r="P522" s="313"/>
      <c r="Q522" s="313"/>
      <c r="R522" s="591">
        <f>R523</f>
        <v>0</v>
      </c>
      <c r="S522" s="591">
        <f>S523</f>
        <v>0</v>
      </c>
      <c r="T522" s="320">
        <f t="shared" si="178"/>
        <v>0</v>
      </c>
      <c r="U522" s="498">
        <f>U523</f>
        <v>0</v>
      </c>
      <c r="V522" s="498">
        <f>V523</f>
        <v>0</v>
      </c>
      <c r="W522" s="310">
        <f t="shared" si="181"/>
        <v>0</v>
      </c>
      <c r="X522" s="310">
        <f t="shared" si="182"/>
        <v>0</v>
      </c>
    </row>
    <row r="523" spans="1:24" ht="12.75" hidden="1" customHeight="1" x14ac:dyDescent="0.2">
      <c r="A523" s="124" t="s">
        <v>164</v>
      </c>
      <c r="B523" s="243" t="s">
        <v>644</v>
      </c>
      <c r="C523" s="353" t="s">
        <v>621</v>
      </c>
      <c r="D523" s="353" t="s">
        <v>606</v>
      </c>
      <c r="E523" s="369" t="s">
        <v>705</v>
      </c>
      <c r="F523" s="369" t="s">
        <v>132</v>
      </c>
      <c r="G523" s="288">
        <v>0</v>
      </c>
      <c r="H523" s="288"/>
      <c r="I523" s="288">
        <v>0</v>
      </c>
      <c r="J523" s="288"/>
      <c r="K523" s="43">
        <f t="shared" si="173"/>
        <v>0</v>
      </c>
      <c r="L523" s="43">
        <f t="shared" si="174"/>
        <v>0</v>
      </c>
      <c r="M523" s="217">
        <f t="shared" si="180"/>
        <v>0</v>
      </c>
      <c r="N523" s="43"/>
      <c r="R523" s="288">
        <v>0</v>
      </c>
      <c r="S523" s="288"/>
      <c r="T523" s="217">
        <f t="shared" si="178"/>
        <v>0</v>
      </c>
      <c r="U523" s="288">
        <v>0</v>
      </c>
      <c r="V523" s="288"/>
      <c r="W523" s="203">
        <f t="shared" si="181"/>
        <v>0</v>
      </c>
      <c r="X523" s="203">
        <f t="shared" si="182"/>
        <v>0</v>
      </c>
    </row>
    <row r="524" spans="1:24" s="307" customFormat="1" ht="25.5" hidden="1" customHeight="1" x14ac:dyDescent="0.2">
      <c r="A524" s="451" t="s">
        <v>703</v>
      </c>
      <c r="B524" s="306" t="s">
        <v>644</v>
      </c>
      <c r="C524" s="354" t="s">
        <v>621</v>
      </c>
      <c r="D524" s="354" t="s">
        <v>606</v>
      </c>
      <c r="E524" s="450" t="s">
        <v>706</v>
      </c>
      <c r="F524" s="450"/>
      <c r="G524" s="498">
        <f>G525</f>
        <v>0</v>
      </c>
      <c r="H524" s="498">
        <f>H525</f>
        <v>0</v>
      </c>
      <c r="I524" s="591">
        <f>I525</f>
        <v>0</v>
      </c>
      <c r="J524" s="591">
        <f>J525</f>
        <v>0</v>
      </c>
      <c r="K524" s="591">
        <f t="shared" si="173"/>
        <v>0</v>
      </c>
      <c r="L524" s="591">
        <f t="shared" si="174"/>
        <v>0</v>
      </c>
      <c r="M524" s="217">
        <f t="shared" si="180"/>
        <v>0</v>
      </c>
      <c r="N524" s="292"/>
      <c r="R524" s="591">
        <f>R525</f>
        <v>0</v>
      </c>
      <c r="S524" s="591">
        <f>S525</f>
        <v>0</v>
      </c>
      <c r="T524" s="309">
        <f t="shared" si="178"/>
        <v>0</v>
      </c>
      <c r="U524" s="498">
        <f>U525</f>
        <v>0</v>
      </c>
      <c r="V524" s="498">
        <f>V525</f>
        <v>0</v>
      </c>
      <c r="W524" s="310">
        <f t="shared" si="181"/>
        <v>0</v>
      </c>
      <c r="X524" s="310">
        <f t="shared" si="182"/>
        <v>0</v>
      </c>
    </row>
    <row r="525" spans="1:24" ht="12.75" hidden="1" customHeight="1" x14ac:dyDescent="0.2">
      <c r="A525" s="124" t="s">
        <v>164</v>
      </c>
      <c r="B525" s="243" t="s">
        <v>644</v>
      </c>
      <c r="C525" s="353" t="s">
        <v>621</v>
      </c>
      <c r="D525" s="353" t="s">
        <v>606</v>
      </c>
      <c r="E525" s="369" t="s">
        <v>706</v>
      </c>
      <c r="F525" s="369" t="s">
        <v>132</v>
      </c>
      <c r="G525" s="288">
        <v>0</v>
      </c>
      <c r="H525" s="288"/>
      <c r="I525" s="288">
        <v>0</v>
      </c>
      <c r="J525" s="288"/>
      <c r="K525" s="43">
        <f t="shared" si="173"/>
        <v>0</v>
      </c>
      <c r="L525" s="43">
        <f t="shared" si="174"/>
        <v>0</v>
      </c>
      <c r="M525" s="217">
        <f t="shared" si="180"/>
        <v>0</v>
      </c>
      <c r="N525" s="43"/>
      <c r="R525" s="288">
        <v>0</v>
      </c>
      <c r="S525" s="288"/>
      <c r="T525" s="217">
        <f t="shared" si="178"/>
        <v>0</v>
      </c>
      <c r="U525" s="288">
        <v>0</v>
      </c>
      <c r="V525" s="288"/>
      <c r="W525" s="203">
        <f t="shared" si="181"/>
        <v>0</v>
      </c>
      <c r="X525" s="203">
        <f t="shared" si="182"/>
        <v>0</v>
      </c>
    </row>
    <row r="526" spans="1:24" s="321" customFormat="1" ht="31.5" x14ac:dyDescent="0.25">
      <c r="A526" s="743" t="s">
        <v>640</v>
      </c>
      <c r="B526" s="66" t="s">
        <v>7</v>
      </c>
      <c r="C526" s="346"/>
      <c r="D526" s="346"/>
      <c r="E526" s="373"/>
      <c r="F526" s="373"/>
      <c r="G526" s="126">
        <f>G534+G565+G745+G738+G527</f>
        <v>92130.480219999998</v>
      </c>
      <c r="H526" s="126">
        <f>H534+H565+H745+H738+H527</f>
        <v>1239.0030099999999</v>
      </c>
      <c r="I526" s="126">
        <f>I534+I565+I745+I738+I527</f>
        <v>115812.54358999999</v>
      </c>
      <c r="J526" s="126">
        <f>J534+J565+J745+J738+J527</f>
        <v>1304.0030099999999</v>
      </c>
      <c r="K526" s="126">
        <f t="shared" si="173"/>
        <v>23682.063369999989</v>
      </c>
      <c r="L526" s="126">
        <f t="shared" si="174"/>
        <v>65</v>
      </c>
      <c r="M526" s="217">
        <f t="shared" si="180"/>
        <v>0</v>
      </c>
      <c r="N526" s="322" t="e">
        <f>N534+N565+N745+N738</f>
        <v>#REF!</v>
      </c>
      <c r="P526" s="321">
        <v>966.6</v>
      </c>
      <c r="R526" s="126">
        <f>R534+R565+R745+R738+R527</f>
        <v>101206.61813999999</v>
      </c>
      <c r="S526" s="126">
        <f>S534+S565+S745+S738+S527</f>
        <v>15004.312540000001</v>
      </c>
      <c r="T526" s="309">
        <f t="shared" si="178"/>
        <v>23682.063369999989</v>
      </c>
      <c r="U526" s="126">
        <f>U534+U565+U745+U738+U527</f>
        <v>191082.47682000001</v>
      </c>
      <c r="V526" s="126">
        <f>V534+V565+V745+V738+V527</f>
        <v>103003.39866000001</v>
      </c>
      <c r="W526" s="310">
        <f t="shared" si="181"/>
        <v>-23682.063369999989</v>
      </c>
      <c r="X526" s="310">
        <f t="shared" si="182"/>
        <v>0</v>
      </c>
    </row>
    <row r="527" spans="1:24" s="307" customFormat="1" ht="15" hidden="1" x14ac:dyDescent="0.2">
      <c r="A527" s="451" t="s">
        <v>156</v>
      </c>
      <c r="B527" s="306" t="s">
        <v>7</v>
      </c>
      <c r="C527" s="354" t="s">
        <v>605</v>
      </c>
      <c r="D527" s="354"/>
      <c r="E527" s="450"/>
      <c r="F527" s="450"/>
      <c r="G527" s="498">
        <f t="shared" ref="G527:J528" si="183">G528</f>
        <v>0</v>
      </c>
      <c r="H527" s="498">
        <f t="shared" si="183"/>
        <v>0</v>
      </c>
      <c r="I527" s="591">
        <f t="shared" si="183"/>
        <v>0</v>
      </c>
      <c r="J527" s="591">
        <f t="shared" si="183"/>
        <v>0</v>
      </c>
      <c r="K527" s="591">
        <f t="shared" si="173"/>
        <v>0</v>
      </c>
      <c r="L527" s="591">
        <f t="shared" si="174"/>
        <v>0</v>
      </c>
      <c r="M527" s="217">
        <f t="shared" si="180"/>
        <v>0</v>
      </c>
      <c r="N527" s="292" t="e">
        <f>N528+N533+N577+N569+N565</f>
        <v>#REF!</v>
      </c>
      <c r="R527" s="591">
        <f>R528</f>
        <v>0</v>
      </c>
      <c r="S527" s="591">
        <f>S528</f>
        <v>0</v>
      </c>
      <c r="T527" s="309">
        <f t="shared" si="178"/>
        <v>0</v>
      </c>
      <c r="U527" s="498">
        <f>U528</f>
        <v>0</v>
      </c>
      <c r="V527" s="498">
        <f>V528</f>
        <v>0</v>
      </c>
      <c r="W527" s="310">
        <f t="shared" si="181"/>
        <v>0</v>
      </c>
      <c r="X527" s="310">
        <f t="shared" si="182"/>
        <v>0</v>
      </c>
    </row>
    <row r="528" spans="1:24" s="307" customFormat="1" ht="12" hidden="1" customHeight="1" x14ac:dyDescent="0.2">
      <c r="A528" s="451" t="s">
        <v>210</v>
      </c>
      <c r="B528" s="306" t="s">
        <v>7</v>
      </c>
      <c r="C528" s="354" t="s">
        <v>605</v>
      </c>
      <c r="D528" s="354" t="s">
        <v>620</v>
      </c>
      <c r="E528" s="450"/>
      <c r="F528" s="450"/>
      <c r="G528" s="498">
        <f t="shared" si="183"/>
        <v>0</v>
      </c>
      <c r="H528" s="498">
        <f t="shared" si="183"/>
        <v>0</v>
      </c>
      <c r="I528" s="591">
        <f t="shared" si="183"/>
        <v>0</v>
      </c>
      <c r="J528" s="591">
        <f t="shared" si="183"/>
        <v>0</v>
      </c>
      <c r="K528" s="591">
        <f t="shared" si="173"/>
        <v>0</v>
      </c>
      <c r="L528" s="591">
        <f t="shared" si="174"/>
        <v>0</v>
      </c>
      <c r="M528" s="217">
        <f t="shared" si="180"/>
        <v>0</v>
      </c>
      <c r="N528" s="292">
        <f>N531</f>
        <v>103.9</v>
      </c>
      <c r="R528" s="591">
        <f>R529</f>
        <v>0</v>
      </c>
      <c r="S528" s="591">
        <f>S529</f>
        <v>0</v>
      </c>
      <c r="T528" s="309">
        <f t="shared" si="178"/>
        <v>0</v>
      </c>
      <c r="U528" s="498">
        <f>U529</f>
        <v>0</v>
      </c>
      <c r="V528" s="498">
        <f>V529</f>
        <v>0</v>
      </c>
      <c r="W528" s="310">
        <f t="shared" si="181"/>
        <v>0</v>
      </c>
      <c r="X528" s="310">
        <f t="shared" si="182"/>
        <v>0</v>
      </c>
    </row>
    <row r="529" spans="1:24" s="307" customFormat="1" ht="25.5" hidden="1" x14ac:dyDescent="0.2">
      <c r="A529" s="451" t="s">
        <v>223</v>
      </c>
      <c r="B529" s="306" t="s">
        <v>7</v>
      </c>
      <c r="C529" s="354" t="s">
        <v>605</v>
      </c>
      <c r="D529" s="354" t="s">
        <v>620</v>
      </c>
      <c r="E529" s="450" t="s">
        <v>333</v>
      </c>
      <c r="F529" s="450"/>
      <c r="G529" s="498">
        <f>SUM(G530:G533)</f>
        <v>0</v>
      </c>
      <c r="H529" s="498">
        <f>SUM(H530:H533)</f>
        <v>0</v>
      </c>
      <c r="I529" s="591">
        <f>SUM(I530:I533)</f>
        <v>0</v>
      </c>
      <c r="J529" s="591">
        <f>SUM(J530:J533)</f>
        <v>0</v>
      </c>
      <c r="K529" s="591">
        <f t="shared" si="173"/>
        <v>0</v>
      </c>
      <c r="L529" s="591">
        <f t="shared" si="174"/>
        <v>0</v>
      </c>
      <c r="M529" s="217">
        <f t="shared" si="180"/>
        <v>0</v>
      </c>
      <c r="N529" s="308">
        <f>SUM(N530:N533)</f>
        <v>576.90000000000009</v>
      </c>
      <c r="R529" s="591">
        <f>SUM(R530:R533)</f>
        <v>0</v>
      </c>
      <c r="S529" s="591">
        <f>SUM(S530:S533)</f>
        <v>0</v>
      </c>
      <c r="T529" s="309">
        <f t="shared" si="178"/>
        <v>0</v>
      </c>
      <c r="U529" s="498">
        <f>SUM(U530:U533)</f>
        <v>0</v>
      </c>
      <c r="V529" s="498">
        <f>SUM(V530:V533)</f>
        <v>0</v>
      </c>
      <c r="W529" s="310">
        <f t="shared" si="181"/>
        <v>0</v>
      </c>
      <c r="X529" s="310">
        <f t="shared" si="182"/>
        <v>0</v>
      </c>
    </row>
    <row r="530" spans="1:24" ht="15" hidden="1" x14ac:dyDescent="0.2">
      <c r="A530" s="124" t="s">
        <v>529</v>
      </c>
      <c r="B530" s="243" t="s">
        <v>7</v>
      </c>
      <c r="C530" s="353" t="s">
        <v>605</v>
      </c>
      <c r="D530" s="353" t="s">
        <v>620</v>
      </c>
      <c r="E530" s="369" t="s">
        <v>333</v>
      </c>
      <c r="F530" s="369" t="s">
        <v>129</v>
      </c>
      <c r="G530" s="288">
        <v>0</v>
      </c>
      <c r="H530" s="288"/>
      <c r="I530" s="288">
        <v>0</v>
      </c>
      <c r="J530" s="288"/>
      <c r="K530" s="43">
        <f t="shared" si="173"/>
        <v>0</v>
      </c>
      <c r="L530" s="43">
        <f t="shared" si="174"/>
        <v>0</v>
      </c>
      <c r="M530" s="217">
        <f t="shared" si="180"/>
        <v>0</v>
      </c>
      <c r="N530" s="171">
        <f>448.1-103.9</f>
        <v>344.20000000000005</v>
      </c>
      <c r="R530" s="288">
        <v>0</v>
      </c>
      <c r="S530" s="288"/>
      <c r="T530" s="217">
        <f t="shared" si="178"/>
        <v>0</v>
      </c>
      <c r="U530" s="288">
        <v>0</v>
      </c>
      <c r="V530" s="288"/>
      <c r="W530" s="203">
        <f t="shared" si="181"/>
        <v>0</v>
      </c>
      <c r="X530" s="203">
        <f t="shared" si="182"/>
        <v>0</v>
      </c>
    </row>
    <row r="531" spans="1:24" ht="25.5" hidden="1" x14ac:dyDescent="0.2">
      <c r="A531" s="124" t="s">
        <v>572</v>
      </c>
      <c r="B531" s="243" t="s">
        <v>7</v>
      </c>
      <c r="C531" s="353" t="s">
        <v>605</v>
      </c>
      <c r="D531" s="353" t="s">
        <v>620</v>
      </c>
      <c r="E531" s="369" t="s">
        <v>333</v>
      </c>
      <c r="F531" s="369" t="s">
        <v>524</v>
      </c>
      <c r="G531" s="288">
        <v>0</v>
      </c>
      <c r="H531" s="288"/>
      <c r="I531" s="288">
        <v>0</v>
      </c>
      <c r="J531" s="288"/>
      <c r="K531" s="43">
        <f t="shared" si="173"/>
        <v>0</v>
      </c>
      <c r="L531" s="43">
        <f t="shared" si="174"/>
        <v>0</v>
      </c>
      <c r="M531" s="217">
        <f t="shared" si="180"/>
        <v>0</v>
      </c>
      <c r="N531" s="171">
        <v>103.9</v>
      </c>
      <c r="R531" s="288">
        <v>0</v>
      </c>
      <c r="S531" s="288"/>
      <c r="T531" s="217">
        <f t="shared" si="178"/>
        <v>0</v>
      </c>
      <c r="U531" s="288">
        <v>0</v>
      </c>
      <c r="V531" s="288"/>
      <c r="W531" s="203">
        <f t="shared" si="181"/>
        <v>0</v>
      </c>
      <c r="X531" s="203">
        <f t="shared" si="182"/>
        <v>0</v>
      </c>
    </row>
    <row r="532" spans="1:24" ht="15" hidden="1" x14ac:dyDescent="0.2">
      <c r="A532" s="124" t="s">
        <v>233</v>
      </c>
      <c r="B532" s="243" t="s">
        <v>7</v>
      </c>
      <c r="C532" s="353" t="s">
        <v>605</v>
      </c>
      <c r="D532" s="353" t="s">
        <v>620</v>
      </c>
      <c r="E532" s="369" t="s">
        <v>333</v>
      </c>
      <c r="F532" s="369" t="s">
        <v>635</v>
      </c>
      <c r="G532" s="288">
        <v>0</v>
      </c>
      <c r="H532" s="288"/>
      <c r="I532" s="288">
        <v>0</v>
      </c>
      <c r="J532" s="288"/>
      <c r="K532" s="43">
        <f t="shared" si="173"/>
        <v>0</v>
      </c>
      <c r="L532" s="43">
        <f t="shared" si="174"/>
        <v>0</v>
      </c>
      <c r="M532" s="217">
        <f t="shared" si="180"/>
        <v>0</v>
      </c>
      <c r="N532" s="171">
        <v>28.8</v>
      </c>
      <c r="R532" s="288">
        <v>0</v>
      </c>
      <c r="S532" s="288"/>
      <c r="T532" s="217">
        <f t="shared" si="178"/>
        <v>0</v>
      </c>
      <c r="U532" s="288">
        <v>0</v>
      </c>
      <c r="V532" s="288"/>
      <c r="W532" s="203">
        <f t="shared" si="181"/>
        <v>0</v>
      </c>
      <c r="X532" s="203">
        <f t="shared" si="182"/>
        <v>0</v>
      </c>
    </row>
    <row r="533" spans="1:24" ht="12" hidden="1" customHeight="1" x14ac:dyDescent="0.2">
      <c r="A533" s="124" t="s">
        <v>834</v>
      </c>
      <c r="B533" s="243" t="s">
        <v>7</v>
      </c>
      <c r="C533" s="353" t="s">
        <v>605</v>
      </c>
      <c r="D533" s="353" t="s">
        <v>620</v>
      </c>
      <c r="E533" s="369" t="s">
        <v>333</v>
      </c>
      <c r="F533" s="369" t="s">
        <v>634</v>
      </c>
      <c r="G533" s="288">
        <v>0</v>
      </c>
      <c r="H533" s="288"/>
      <c r="I533" s="288">
        <v>0</v>
      </c>
      <c r="J533" s="288"/>
      <c r="K533" s="43">
        <f t="shared" si="173"/>
        <v>0</v>
      </c>
      <c r="L533" s="43">
        <f t="shared" si="174"/>
        <v>0</v>
      </c>
      <c r="M533" s="217">
        <f t="shared" si="180"/>
        <v>0</v>
      </c>
      <c r="N533" s="171">
        <v>100</v>
      </c>
      <c r="R533" s="288">
        <v>0</v>
      </c>
      <c r="S533" s="288"/>
      <c r="T533" s="217">
        <f t="shared" si="178"/>
        <v>0</v>
      </c>
      <c r="U533" s="288">
        <v>0</v>
      </c>
      <c r="V533" s="288"/>
      <c r="W533" s="203">
        <f t="shared" si="181"/>
        <v>0</v>
      </c>
      <c r="X533" s="203">
        <f t="shared" si="182"/>
        <v>0</v>
      </c>
    </row>
    <row r="534" spans="1:24" s="307" customFormat="1" ht="15" x14ac:dyDescent="0.2">
      <c r="A534" s="746" t="s">
        <v>286</v>
      </c>
      <c r="B534" s="306" t="s">
        <v>7</v>
      </c>
      <c r="C534" s="354" t="s">
        <v>8</v>
      </c>
      <c r="D534" s="354"/>
      <c r="E534" s="450"/>
      <c r="F534" s="450"/>
      <c r="G534" s="591">
        <f>G535</f>
        <v>19190.184000000001</v>
      </c>
      <c r="H534" s="591">
        <f>H535</f>
        <v>0</v>
      </c>
      <c r="I534" s="591">
        <f>I535</f>
        <v>23381.706000000002</v>
      </c>
      <c r="J534" s="591">
        <f>J535</f>
        <v>0</v>
      </c>
      <c r="K534" s="591">
        <f t="shared" si="173"/>
        <v>4191.5220000000008</v>
      </c>
      <c r="L534" s="591">
        <f t="shared" si="174"/>
        <v>0</v>
      </c>
      <c r="M534" s="217">
        <f t="shared" si="180"/>
        <v>0</v>
      </c>
      <c r="N534" s="292">
        <f>N535</f>
        <v>0</v>
      </c>
      <c r="R534" s="591">
        <f>R535</f>
        <v>19889.045000000002</v>
      </c>
      <c r="S534" s="591">
        <f>S535</f>
        <v>0</v>
      </c>
      <c r="T534" s="309">
        <f t="shared" si="178"/>
        <v>4191.5220000000008</v>
      </c>
      <c r="U534" s="498">
        <f>U535</f>
        <v>19170.018</v>
      </c>
      <c r="V534" s="498">
        <f>V535</f>
        <v>0</v>
      </c>
      <c r="W534" s="310">
        <f t="shared" si="181"/>
        <v>-4191.5220000000008</v>
      </c>
      <c r="X534" s="310">
        <f t="shared" si="182"/>
        <v>0</v>
      </c>
    </row>
    <row r="535" spans="1:24" s="307" customFormat="1" ht="15" x14ac:dyDescent="0.2">
      <c r="A535" s="746" t="s">
        <v>596</v>
      </c>
      <c r="B535" s="306" t="s">
        <v>7</v>
      </c>
      <c r="C535" s="354" t="s">
        <v>8</v>
      </c>
      <c r="D535" s="354" t="s">
        <v>606</v>
      </c>
      <c r="E535" s="450"/>
      <c r="F535" s="450"/>
      <c r="G535" s="591">
        <f>G536+G562+G555</f>
        <v>19190.184000000001</v>
      </c>
      <c r="H535" s="591">
        <f>H536+H562+H555</f>
        <v>0</v>
      </c>
      <c r="I535" s="591">
        <f>I536+I562+I555</f>
        <v>23381.706000000002</v>
      </c>
      <c r="J535" s="591">
        <f>J536+J562+J555</f>
        <v>0</v>
      </c>
      <c r="K535" s="591">
        <f t="shared" si="173"/>
        <v>4191.5220000000008</v>
      </c>
      <c r="L535" s="591">
        <f t="shared" si="174"/>
        <v>0</v>
      </c>
      <c r="M535" s="217">
        <f t="shared" si="180"/>
        <v>0</v>
      </c>
      <c r="N535" s="292"/>
      <c r="O535" s="292"/>
      <c r="P535" s="292"/>
      <c r="Q535" s="292"/>
      <c r="R535" s="591">
        <f>R536+R562+R555</f>
        <v>19889.045000000002</v>
      </c>
      <c r="S535" s="591">
        <f>S536+S562+S555</f>
        <v>0</v>
      </c>
      <c r="T535" s="292">
        <f>T536+T562</f>
        <v>4191.5220000000008</v>
      </c>
      <c r="U535" s="498">
        <f>U536+U562</f>
        <v>19170.018</v>
      </c>
      <c r="V535" s="498">
        <f>V536+V562</f>
        <v>0</v>
      </c>
      <c r="W535" s="310">
        <f t="shared" si="181"/>
        <v>-4191.5220000000008</v>
      </c>
      <c r="X535" s="310">
        <f t="shared" si="182"/>
        <v>0</v>
      </c>
    </row>
    <row r="536" spans="1:24" s="307" customFormat="1" ht="15" x14ac:dyDescent="0.2">
      <c r="A536" s="746" t="s">
        <v>318</v>
      </c>
      <c r="B536" s="306" t="s">
        <v>7</v>
      </c>
      <c r="C536" s="354" t="s">
        <v>8</v>
      </c>
      <c r="D536" s="354" t="s">
        <v>606</v>
      </c>
      <c r="E536" s="450" t="s">
        <v>323</v>
      </c>
      <c r="F536" s="450"/>
      <c r="G536" s="591">
        <f>G537+G551</f>
        <v>19190.184000000001</v>
      </c>
      <c r="H536" s="591">
        <f>H537+H551</f>
        <v>0</v>
      </c>
      <c r="I536" s="591">
        <f>I537+I551</f>
        <v>23381.706000000002</v>
      </c>
      <c r="J536" s="591">
        <f>J537+J551</f>
        <v>0</v>
      </c>
      <c r="K536" s="591">
        <f t="shared" si="173"/>
        <v>4191.5220000000008</v>
      </c>
      <c r="L536" s="591">
        <f t="shared" si="174"/>
        <v>0</v>
      </c>
      <c r="M536" s="217">
        <f t="shared" si="180"/>
        <v>0</v>
      </c>
      <c r="N536" s="292">
        <f>N537</f>
        <v>10011.754000000001</v>
      </c>
      <c r="R536" s="591">
        <f>R537+R551</f>
        <v>19689.045000000002</v>
      </c>
      <c r="S536" s="591">
        <f>S537+S551</f>
        <v>0</v>
      </c>
      <c r="T536" s="309">
        <f t="shared" ref="T536:T544" si="184">I536-G536</f>
        <v>4191.5220000000008</v>
      </c>
      <c r="U536" s="498">
        <f>U537+U551</f>
        <v>19170.018</v>
      </c>
      <c r="V536" s="498">
        <f>V537+V551</f>
        <v>0</v>
      </c>
      <c r="W536" s="310">
        <f t="shared" si="181"/>
        <v>-4191.5220000000008</v>
      </c>
      <c r="X536" s="310">
        <f t="shared" si="182"/>
        <v>0</v>
      </c>
    </row>
    <row r="537" spans="1:24" s="307" customFormat="1" ht="15" x14ac:dyDescent="0.2">
      <c r="A537" s="746" t="s">
        <v>319</v>
      </c>
      <c r="B537" s="306" t="s">
        <v>7</v>
      </c>
      <c r="C537" s="354" t="s">
        <v>8</v>
      </c>
      <c r="D537" s="354" t="s">
        <v>606</v>
      </c>
      <c r="E537" s="450" t="s">
        <v>322</v>
      </c>
      <c r="F537" s="450"/>
      <c r="G537" s="591">
        <f>G538</f>
        <v>19190.184000000001</v>
      </c>
      <c r="H537" s="591">
        <f>H538</f>
        <v>0</v>
      </c>
      <c r="I537" s="591">
        <f>I538</f>
        <v>23381.706000000002</v>
      </c>
      <c r="J537" s="591">
        <f>J538</f>
        <v>0</v>
      </c>
      <c r="K537" s="591">
        <f t="shared" si="173"/>
        <v>4191.5220000000008</v>
      </c>
      <c r="L537" s="591">
        <f t="shared" si="174"/>
        <v>0</v>
      </c>
      <c r="M537" s="217">
        <f t="shared" si="180"/>
        <v>0</v>
      </c>
      <c r="N537" s="292">
        <f>N538</f>
        <v>10011.754000000001</v>
      </c>
      <c r="R537" s="591">
        <f>R538</f>
        <v>19439.045000000002</v>
      </c>
      <c r="S537" s="591">
        <f>S538</f>
        <v>0</v>
      </c>
      <c r="T537" s="309">
        <f t="shared" si="184"/>
        <v>4191.5220000000008</v>
      </c>
      <c r="U537" s="498">
        <f>U538</f>
        <v>19170.018</v>
      </c>
      <c r="V537" s="498">
        <f>V538</f>
        <v>0</v>
      </c>
      <c r="W537" s="310">
        <f t="shared" si="181"/>
        <v>-4191.5220000000008</v>
      </c>
      <c r="X537" s="310">
        <f t="shared" si="182"/>
        <v>0</v>
      </c>
    </row>
    <row r="538" spans="1:24" s="307" customFormat="1" ht="25.5" x14ac:dyDescent="0.2">
      <c r="A538" s="746" t="s">
        <v>320</v>
      </c>
      <c r="B538" s="306" t="s">
        <v>7</v>
      </c>
      <c r="C538" s="354" t="s">
        <v>8</v>
      </c>
      <c r="D538" s="354" t="s">
        <v>606</v>
      </c>
      <c r="E538" s="450" t="s">
        <v>321</v>
      </c>
      <c r="F538" s="450"/>
      <c r="G538" s="591">
        <f>G543+G539+G547+G541+G545+G549</f>
        <v>19190.184000000001</v>
      </c>
      <c r="H538" s="591">
        <f>H543+H539+H547+H541+H545+H549</f>
        <v>0</v>
      </c>
      <c r="I538" s="591">
        <f>I543+I539+I547+I541+I545+I549</f>
        <v>23381.706000000002</v>
      </c>
      <c r="J538" s="591">
        <f>J543+J539+J547+J541+J545+J549</f>
        <v>0</v>
      </c>
      <c r="K538" s="591">
        <f t="shared" si="173"/>
        <v>4191.5220000000008</v>
      </c>
      <c r="L538" s="591">
        <f t="shared" si="174"/>
        <v>0</v>
      </c>
      <c r="M538" s="217">
        <f t="shared" si="180"/>
        <v>0</v>
      </c>
      <c r="N538" s="292">
        <f>N543+N539</f>
        <v>10011.754000000001</v>
      </c>
      <c r="R538" s="591">
        <f>R543+R539+R547+R541+R545+R549</f>
        <v>19439.045000000002</v>
      </c>
      <c r="S538" s="591">
        <f>S543+S539+S547+S541+S545+S549</f>
        <v>0</v>
      </c>
      <c r="T538" s="309">
        <f t="shared" si="184"/>
        <v>4191.5220000000008</v>
      </c>
      <c r="U538" s="498">
        <f>U543+U539+U547+U541+U545+U549</f>
        <v>19170.018</v>
      </c>
      <c r="V538" s="498">
        <f>V543+V539+V547+V541+V545+V549</f>
        <v>0</v>
      </c>
      <c r="W538" s="310">
        <f t="shared" si="181"/>
        <v>-4191.5220000000008</v>
      </c>
      <c r="X538" s="310">
        <f t="shared" si="182"/>
        <v>0</v>
      </c>
    </row>
    <row r="539" spans="1:24" s="307" customFormat="1" ht="25.5" x14ac:dyDescent="0.2">
      <c r="A539" s="746" t="s">
        <v>645</v>
      </c>
      <c r="B539" s="306" t="s">
        <v>7</v>
      </c>
      <c r="C539" s="354" t="s">
        <v>8</v>
      </c>
      <c r="D539" s="354" t="s">
        <v>606</v>
      </c>
      <c r="E539" s="450" t="s">
        <v>554</v>
      </c>
      <c r="F539" s="450"/>
      <c r="G539" s="591">
        <f>G540</f>
        <v>2926.9560000000001</v>
      </c>
      <c r="H539" s="591">
        <f>H540</f>
        <v>0</v>
      </c>
      <c r="I539" s="591">
        <f>I540</f>
        <v>3060.2321200000001</v>
      </c>
      <c r="J539" s="591">
        <f>J540</f>
        <v>0</v>
      </c>
      <c r="K539" s="591">
        <f t="shared" si="173"/>
        <v>133.27611999999999</v>
      </c>
      <c r="L539" s="591">
        <f t="shared" si="174"/>
        <v>0</v>
      </c>
      <c r="M539" s="217">
        <f t="shared" si="180"/>
        <v>0</v>
      </c>
      <c r="N539" s="292">
        <f>N540</f>
        <v>4961.7539999999999</v>
      </c>
      <c r="R539" s="591">
        <f>R540</f>
        <v>3473.902</v>
      </c>
      <c r="S539" s="591">
        <f>S540</f>
        <v>0</v>
      </c>
      <c r="T539" s="309">
        <f t="shared" si="184"/>
        <v>133.27611999999999</v>
      </c>
      <c r="U539" s="498">
        <f>U540</f>
        <v>6166.2539999999999</v>
      </c>
      <c r="V539" s="498">
        <f>V540</f>
        <v>0</v>
      </c>
      <c r="W539" s="310">
        <f t="shared" si="181"/>
        <v>-133.27611999999999</v>
      </c>
      <c r="X539" s="310">
        <f t="shared" si="182"/>
        <v>0</v>
      </c>
    </row>
    <row r="540" spans="1:24" ht="25.5" x14ac:dyDescent="0.2">
      <c r="A540" s="739" t="s">
        <v>646</v>
      </c>
      <c r="B540" s="243" t="s">
        <v>7</v>
      </c>
      <c r="C540" s="353" t="s">
        <v>8</v>
      </c>
      <c r="D540" s="353" t="s">
        <v>606</v>
      </c>
      <c r="E540" s="369" t="s">
        <v>554</v>
      </c>
      <c r="F540" s="369" t="s">
        <v>128</v>
      </c>
      <c r="G540" s="288">
        <v>2926.9560000000001</v>
      </c>
      <c r="H540" s="288"/>
      <c r="I540" s="288">
        <v>3060.2321200000001</v>
      </c>
      <c r="J540" s="288"/>
      <c r="K540" s="43">
        <f t="shared" si="173"/>
        <v>133.27611999999999</v>
      </c>
      <c r="L540" s="43">
        <f t="shared" si="174"/>
        <v>0</v>
      </c>
      <c r="M540" s="217">
        <f t="shared" si="180"/>
        <v>0</v>
      </c>
      <c r="N540" s="43">
        <v>4961.7539999999999</v>
      </c>
      <c r="R540" s="288">
        <v>3473.902</v>
      </c>
      <c r="S540" s="288"/>
      <c r="T540" s="217">
        <f t="shared" si="184"/>
        <v>133.27611999999999</v>
      </c>
      <c r="U540" s="288">
        <v>6166.2539999999999</v>
      </c>
      <c r="V540" s="288">
        <v>0</v>
      </c>
      <c r="W540" s="203">
        <f t="shared" si="181"/>
        <v>-133.27611999999999</v>
      </c>
      <c r="X540" s="203">
        <f t="shared" si="182"/>
        <v>0</v>
      </c>
    </row>
    <row r="541" spans="1:24" s="307" customFormat="1" ht="25.5" x14ac:dyDescent="0.2">
      <c r="A541" s="746" t="s">
        <v>1247</v>
      </c>
      <c r="B541" s="306" t="s">
        <v>7</v>
      </c>
      <c r="C541" s="354" t="s">
        <v>8</v>
      </c>
      <c r="D541" s="354" t="s">
        <v>606</v>
      </c>
      <c r="E541" s="450" t="s">
        <v>1379</v>
      </c>
      <c r="F541" s="450"/>
      <c r="G541" s="591">
        <f>G542</f>
        <v>4937.3890000000001</v>
      </c>
      <c r="H541" s="591">
        <f>H542</f>
        <v>0</v>
      </c>
      <c r="I541" s="591">
        <f>I542</f>
        <v>4937.3890000000001</v>
      </c>
      <c r="J541" s="591">
        <f>J542</f>
        <v>0</v>
      </c>
      <c r="K541" s="591">
        <f t="shared" si="173"/>
        <v>0</v>
      </c>
      <c r="L541" s="591">
        <f t="shared" si="174"/>
        <v>0</v>
      </c>
      <c r="M541" s="217">
        <f t="shared" si="180"/>
        <v>0</v>
      </c>
      <c r="N541" s="292"/>
      <c r="R541" s="591">
        <f>R542</f>
        <v>161.1</v>
      </c>
      <c r="S541" s="591">
        <f>S542</f>
        <v>0</v>
      </c>
      <c r="T541" s="309">
        <f t="shared" si="184"/>
        <v>0</v>
      </c>
      <c r="U541" s="498">
        <f>U542</f>
        <v>58.119</v>
      </c>
      <c r="V541" s="498">
        <f>V542</f>
        <v>0</v>
      </c>
      <c r="W541" s="310">
        <f t="shared" si="181"/>
        <v>0</v>
      </c>
      <c r="X541" s="310">
        <f t="shared" si="182"/>
        <v>0</v>
      </c>
    </row>
    <row r="542" spans="1:24" ht="25.5" x14ac:dyDescent="0.2">
      <c r="A542" s="739" t="s">
        <v>646</v>
      </c>
      <c r="B542" s="243" t="s">
        <v>7</v>
      </c>
      <c r="C542" s="353" t="s">
        <v>8</v>
      </c>
      <c r="D542" s="353" t="s">
        <v>606</v>
      </c>
      <c r="E542" s="369" t="s">
        <v>1379</v>
      </c>
      <c r="F542" s="369" t="s">
        <v>128</v>
      </c>
      <c r="G542" s="288">
        <v>4937.3890000000001</v>
      </c>
      <c r="H542" s="288"/>
      <c r="I542" s="288">
        <v>4937.3890000000001</v>
      </c>
      <c r="J542" s="288"/>
      <c r="K542" s="43">
        <f t="shared" si="173"/>
        <v>0</v>
      </c>
      <c r="L542" s="43">
        <f t="shared" si="174"/>
        <v>0</v>
      </c>
      <c r="M542" s="217">
        <f t="shared" si="180"/>
        <v>0</v>
      </c>
      <c r="N542" s="43"/>
      <c r="R542" s="288">
        <v>161.1</v>
      </c>
      <c r="S542" s="288"/>
      <c r="T542" s="217">
        <f t="shared" si="184"/>
        <v>0</v>
      </c>
      <c r="U542" s="288">
        <v>58.119</v>
      </c>
      <c r="V542" s="288">
        <v>0</v>
      </c>
      <c r="W542" s="203">
        <f t="shared" si="181"/>
        <v>0</v>
      </c>
      <c r="X542" s="203">
        <f t="shared" si="182"/>
        <v>0</v>
      </c>
    </row>
    <row r="543" spans="1:24" s="307" customFormat="1" ht="38.25" x14ac:dyDescent="0.2">
      <c r="A543" s="746" t="s">
        <v>633</v>
      </c>
      <c r="B543" s="306" t="s">
        <v>7</v>
      </c>
      <c r="C543" s="354" t="s">
        <v>8</v>
      </c>
      <c r="D543" s="354" t="s">
        <v>606</v>
      </c>
      <c r="E543" s="450" t="s">
        <v>1062</v>
      </c>
      <c r="F543" s="450"/>
      <c r="G543" s="591">
        <f>G544</f>
        <v>11325.839</v>
      </c>
      <c r="H543" s="591">
        <f>H544</f>
        <v>0</v>
      </c>
      <c r="I543" s="591">
        <f>I544</f>
        <v>12444.102000000001</v>
      </c>
      <c r="J543" s="591">
        <f>J544</f>
        <v>0</v>
      </c>
      <c r="K543" s="591">
        <f t="shared" si="173"/>
        <v>1118.2630000000008</v>
      </c>
      <c r="L543" s="591">
        <f t="shared" si="174"/>
        <v>0</v>
      </c>
      <c r="M543" s="217">
        <f t="shared" si="180"/>
        <v>0</v>
      </c>
      <c r="N543" s="292">
        <f>N544</f>
        <v>5050</v>
      </c>
      <c r="R543" s="591">
        <f>R544</f>
        <v>11886.2</v>
      </c>
      <c r="S543" s="591">
        <f>S544</f>
        <v>0</v>
      </c>
      <c r="T543" s="309">
        <f t="shared" si="184"/>
        <v>1118.2630000000008</v>
      </c>
      <c r="U543" s="498">
        <f>U544</f>
        <v>11886.2</v>
      </c>
      <c r="V543" s="498">
        <f>V544</f>
        <v>0</v>
      </c>
      <c r="W543" s="310">
        <f t="shared" si="181"/>
        <v>-1118.2630000000008</v>
      </c>
      <c r="X543" s="310">
        <f t="shared" si="182"/>
        <v>0</v>
      </c>
    </row>
    <row r="544" spans="1:24" s="175" customFormat="1" ht="25.5" x14ac:dyDescent="0.2">
      <c r="A544" s="739" t="s">
        <v>646</v>
      </c>
      <c r="B544" s="243" t="s">
        <v>7</v>
      </c>
      <c r="C544" s="353" t="s">
        <v>8</v>
      </c>
      <c r="D544" s="353" t="s">
        <v>606</v>
      </c>
      <c r="E544" s="369" t="s">
        <v>1062</v>
      </c>
      <c r="F544" s="369" t="s">
        <v>128</v>
      </c>
      <c r="G544" s="288">
        <v>11325.839</v>
      </c>
      <c r="H544" s="288"/>
      <c r="I544" s="288">
        <v>12444.102000000001</v>
      </c>
      <c r="J544" s="288"/>
      <c r="K544" s="43">
        <f t="shared" si="173"/>
        <v>1118.2630000000008</v>
      </c>
      <c r="L544" s="43">
        <f t="shared" si="174"/>
        <v>0</v>
      </c>
      <c r="M544" s="217">
        <f t="shared" si="180"/>
        <v>0</v>
      </c>
      <c r="N544" s="43">
        <v>5050</v>
      </c>
      <c r="O544" s="298"/>
      <c r="P544" s="298"/>
      <c r="Q544" s="298"/>
      <c r="R544" s="288">
        <v>11886.2</v>
      </c>
      <c r="S544" s="288"/>
      <c r="T544" s="305">
        <f t="shared" si="184"/>
        <v>1118.2630000000008</v>
      </c>
      <c r="U544" s="288">
        <v>11886.2</v>
      </c>
      <c r="V544" s="288">
        <v>0</v>
      </c>
      <c r="W544" s="203">
        <f t="shared" si="181"/>
        <v>-1118.2630000000008</v>
      </c>
      <c r="X544" s="203">
        <f t="shared" si="182"/>
        <v>0</v>
      </c>
    </row>
    <row r="545" spans="1:24" s="307" customFormat="1" ht="37.5" hidden="1" customHeight="1" x14ac:dyDescent="0.2">
      <c r="A545" s="451" t="s">
        <v>938</v>
      </c>
      <c r="B545" s="306" t="s">
        <v>7</v>
      </c>
      <c r="C545" s="354" t="s">
        <v>8</v>
      </c>
      <c r="D545" s="354" t="s">
        <v>606</v>
      </c>
      <c r="E545" s="450" t="s">
        <v>848</v>
      </c>
      <c r="F545" s="450"/>
      <c r="G545" s="498">
        <f>G546</f>
        <v>0</v>
      </c>
      <c r="H545" s="498">
        <f>H546</f>
        <v>0</v>
      </c>
      <c r="I545" s="591">
        <f>I546</f>
        <v>0</v>
      </c>
      <c r="J545" s="591">
        <f>J546</f>
        <v>0</v>
      </c>
      <c r="K545" s="591">
        <f t="shared" si="173"/>
        <v>0</v>
      </c>
      <c r="L545" s="591">
        <f t="shared" si="174"/>
        <v>0</v>
      </c>
      <c r="M545" s="217">
        <f t="shared" si="180"/>
        <v>0</v>
      </c>
      <c r="N545" s="292"/>
      <c r="R545" s="591">
        <f>R546</f>
        <v>0</v>
      </c>
      <c r="S545" s="591">
        <f>S546</f>
        <v>0</v>
      </c>
      <c r="T545" s="309"/>
      <c r="U545" s="498">
        <f>U546</f>
        <v>0</v>
      </c>
      <c r="V545" s="498">
        <f>V546</f>
        <v>0</v>
      </c>
      <c r="W545" s="310">
        <f t="shared" si="181"/>
        <v>0</v>
      </c>
      <c r="X545" s="310">
        <f t="shared" si="182"/>
        <v>0</v>
      </c>
    </row>
    <row r="546" spans="1:24" s="175" customFormat="1" ht="41.25" hidden="1" customHeight="1" x14ac:dyDescent="0.2">
      <c r="A546" s="124" t="s">
        <v>646</v>
      </c>
      <c r="B546" s="243" t="s">
        <v>7</v>
      </c>
      <c r="C546" s="353" t="s">
        <v>8</v>
      </c>
      <c r="D546" s="353" t="s">
        <v>606</v>
      </c>
      <c r="E546" s="369" t="s">
        <v>848</v>
      </c>
      <c r="F546" s="369" t="s">
        <v>128</v>
      </c>
      <c r="G546" s="288"/>
      <c r="H546" s="288"/>
      <c r="I546" s="288"/>
      <c r="J546" s="288"/>
      <c r="K546" s="43">
        <f t="shared" si="173"/>
        <v>0</v>
      </c>
      <c r="L546" s="43">
        <f t="shared" si="174"/>
        <v>0</v>
      </c>
      <c r="M546" s="217">
        <f t="shared" si="180"/>
        <v>0</v>
      </c>
      <c r="N546" s="43"/>
      <c r="R546" s="288"/>
      <c r="S546" s="288"/>
      <c r="T546" s="217"/>
      <c r="U546" s="288"/>
      <c r="V546" s="288"/>
      <c r="W546" s="203">
        <f t="shared" si="181"/>
        <v>0</v>
      </c>
      <c r="X546" s="203">
        <f t="shared" si="182"/>
        <v>0</v>
      </c>
    </row>
    <row r="547" spans="1:24" s="307" customFormat="1" ht="25.5" hidden="1" x14ac:dyDescent="0.2">
      <c r="A547" s="451" t="s">
        <v>1025</v>
      </c>
      <c r="B547" s="306" t="s">
        <v>7</v>
      </c>
      <c r="C547" s="354" t="s">
        <v>8</v>
      </c>
      <c r="D547" s="354" t="s">
        <v>606</v>
      </c>
      <c r="E547" s="450" t="s">
        <v>1026</v>
      </c>
      <c r="F547" s="450"/>
      <c r="G547" s="498">
        <f>G548</f>
        <v>0</v>
      </c>
      <c r="H547" s="498">
        <f>H548</f>
        <v>0</v>
      </c>
      <c r="I547" s="591">
        <f>I548</f>
        <v>0</v>
      </c>
      <c r="J547" s="591">
        <f>J548</f>
        <v>0</v>
      </c>
      <c r="K547" s="591">
        <f t="shared" si="173"/>
        <v>0</v>
      </c>
      <c r="L547" s="591">
        <f t="shared" si="174"/>
        <v>0</v>
      </c>
      <c r="M547" s="217">
        <f t="shared" si="180"/>
        <v>0</v>
      </c>
      <c r="N547" s="292"/>
      <c r="R547" s="591">
        <f>R548</f>
        <v>0</v>
      </c>
      <c r="S547" s="591">
        <f>S548</f>
        <v>0</v>
      </c>
      <c r="T547" s="309">
        <f>I547-G547</f>
        <v>0</v>
      </c>
      <c r="U547" s="498">
        <f>U548</f>
        <v>0</v>
      </c>
      <c r="V547" s="498">
        <f>V548</f>
        <v>0</v>
      </c>
      <c r="W547" s="310">
        <f t="shared" si="181"/>
        <v>0</v>
      </c>
      <c r="X547" s="310">
        <f t="shared" si="182"/>
        <v>0</v>
      </c>
    </row>
    <row r="548" spans="1:24" ht="25.5" hidden="1" x14ac:dyDescent="0.2">
      <c r="A548" s="124" t="s">
        <v>646</v>
      </c>
      <c r="B548" s="243" t="s">
        <v>7</v>
      </c>
      <c r="C548" s="353" t="s">
        <v>8</v>
      </c>
      <c r="D548" s="353" t="s">
        <v>606</v>
      </c>
      <c r="E548" s="369" t="s">
        <v>1026</v>
      </c>
      <c r="F548" s="369" t="s">
        <v>128</v>
      </c>
      <c r="G548" s="288"/>
      <c r="H548" s="288"/>
      <c r="I548" s="288"/>
      <c r="J548" s="288"/>
      <c r="K548" s="43">
        <f t="shared" si="173"/>
        <v>0</v>
      </c>
      <c r="L548" s="43">
        <f t="shared" si="174"/>
        <v>0</v>
      </c>
      <c r="M548" s="217">
        <f t="shared" si="180"/>
        <v>0</v>
      </c>
      <c r="N548" s="43"/>
      <c r="R548" s="288"/>
      <c r="S548" s="288"/>
      <c r="T548" s="217">
        <f>I548-G548</f>
        <v>0</v>
      </c>
      <c r="U548" s="288"/>
      <c r="V548" s="288"/>
      <c r="W548" s="203">
        <f t="shared" si="181"/>
        <v>0</v>
      </c>
      <c r="X548" s="203">
        <f t="shared" si="182"/>
        <v>0</v>
      </c>
    </row>
    <row r="549" spans="1:24" s="307" customFormat="1" ht="25.5" x14ac:dyDescent="0.2">
      <c r="A549" s="746" t="s">
        <v>2004</v>
      </c>
      <c r="B549" s="306" t="s">
        <v>7</v>
      </c>
      <c r="C549" s="354" t="s">
        <v>8</v>
      </c>
      <c r="D549" s="354" t="s">
        <v>606</v>
      </c>
      <c r="E549" s="719" t="s">
        <v>2010</v>
      </c>
      <c r="F549" s="450"/>
      <c r="G549" s="591">
        <f>G550</f>
        <v>0</v>
      </c>
      <c r="H549" s="591">
        <f>H550</f>
        <v>0</v>
      </c>
      <c r="I549" s="591">
        <f>I550</f>
        <v>2939.98288</v>
      </c>
      <c r="J549" s="591">
        <f>J550</f>
        <v>0</v>
      </c>
      <c r="K549" s="591">
        <f t="shared" si="173"/>
        <v>2939.98288</v>
      </c>
      <c r="L549" s="591">
        <f t="shared" si="174"/>
        <v>0</v>
      </c>
      <c r="M549" s="217">
        <f t="shared" si="180"/>
        <v>0</v>
      </c>
      <c r="N549" s="292"/>
      <c r="R549" s="591">
        <f>R550</f>
        <v>3917.8429999999998</v>
      </c>
      <c r="S549" s="591">
        <f>S550</f>
        <v>0</v>
      </c>
      <c r="T549" s="309"/>
      <c r="U549" s="498">
        <f>U550</f>
        <v>1059.4449999999999</v>
      </c>
      <c r="V549" s="498">
        <f>V550</f>
        <v>0</v>
      </c>
      <c r="W549" s="310">
        <f t="shared" si="181"/>
        <v>-2939.98288</v>
      </c>
      <c r="X549" s="310">
        <f t="shared" si="182"/>
        <v>0</v>
      </c>
    </row>
    <row r="550" spans="1:24" ht="25.5" x14ac:dyDescent="0.2">
      <c r="A550" s="739" t="s">
        <v>646</v>
      </c>
      <c r="B550" s="243" t="s">
        <v>7</v>
      </c>
      <c r="C550" s="353" t="s">
        <v>8</v>
      </c>
      <c r="D550" s="353" t="s">
        <v>606</v>
      </c>
      <c r="E550" s="386" t="s">
        <v>2010</v>
      </c>
      <c r="F550" s="369" t="s">
        <v>128</v>
      </c>
      <c r="G550" s="288"/>
      <c r="H550" s="288"/>
      <c r="I550" s="288">
        <v>2939.98288</v>
      </c>
      <c r="J550" s="288"/>
      <c r="K550" s="43">
        <f t="shared" si="173"/>
        <v>2939.98288</v>
      </c>
      <c r="L550" s="43">
        <f t="shared" si="174"/>
        <v>0</v>
      </c>
      <c r="M550" s="217">
        <f t="shared" si="180"/>
        <v>0</v>
      </c>
      <c r="N550" s="43"/>
      <c r="R550" s="288">
        <v>3917.8429999999998</v>
      </c>
      <c r="S550" s="288"/>
      <c r="T550" s="217"/>
      <c r="U550" s="288">
        <v>1059.4449999999999</v>
      </c>
      <c r="V550" s="288"/>
      <c r="W550" s="203">
        <f t="shared" si="181"/>
        <v>-2939.98288</v>
      </c>
      <c r="X550" s="203">
        <f t="shared" si="182"/>
        <v>0</v>
      </c>
    </row>
    <row r="551" spans="1:24" s="307" customFormat="1" ht="25.5" hidden="1" x14ac:dyDescent="0.2">
      <c r="A551" s="451" t="s">
        <v>717</v>
      </c>
      <c r="B551" s="306" t="s">
        <v>7</v>
      </c>
      <c r="C551" s="354" t="s">
        <v>8</v>
      </c>
      <c r="D551" s="354" t="s">
        <v>606</v>
      </c>
      <c r="E551" s="450" t="s">
        <v>714</v>
      </c>
      <c r="F551" s="450"/>
      <c r="G551" s="498">
        <f t="shared" ref="G551:J553" si="185">G552</f>
        <v>0</v>
      </c>
      <c r="H551" s="498">
        <f t="shared" si="185"/>
        <v>0</v>
      </c>
      <c r="I551" s="591">
        <f t="shared" si="185"/>
        <v>0</v>
      </c>
      <c r="J551" s="591">
        <f t="shared" si="185"/>
        <v>0</v>
      </c>
      <c r="K551" s="591">
        <f t="shared" si="173"/>
        <v>0</v>
      </c>
      <c r="L551" s="591">
        <f t="shared" si="174"/>
        <v>0</v>
      </c>
      <c r="M551" s="217">
        <f t="shared" si="180"/>
        <v>0</v>
      </c>
      <c r="N551" s="292">
        <f>N552</f>
        <v>10492.181</v>
      </c>
      <c r="R551" s="591">
        <f t="shared" ref="R551:S553" si="186">R552</f>
        <v>250</v>
      </c>
      <c r="S551" s="591">
        <f t="shared" si="186"/>
        <v>0</v>
      </c>
      <c r="T551" s="309">
        <f>I551-G551</f>
        <v>0</v>
      </c>
      <c r="U551" s="498">
        <f t="shared" ref="U551:V553" si="187">U552</f>
        <v>0</v>
      </c>
      <c r="V551" s="498">
        <f t="shared" si="187"/>
        <v>0</v>
      </c>
      <c r="W551" s="310">
        <f t="shared" si="181"/>
        <v>0</v>
      </c>
      <c r="X551" s="310">
        <f t="shared" si="182"/>
        <v>0</v>
      </c>
    </row>
    <row r="552" spans="1:24" s="307" customFormat="1" ht="15" hidden="1" x14ac:dyDescent="0.2">
      <c r="A552" s="451" t="s">
        <v>1192</v>
      </c>
      <c r="B552" s="306" t="s">
        <v>7</v>
      </c>
      <c r="C552" s="354" t="s">
        <v>8</v>
      </c>
      <c r="D552" s="354" t="s">
        <v>606</v>
      </c>
      <c r="E552" s="450" t="s">
        <v>1193</v>
      </c>
      <c r="F552" s="450"/>
      <c r="G552" s="498">
        <f t="shared" si="185"/>
        <v>0</v>
      </c>
      <c r="H552" s="498">
        <f t="shared" si="185"/>
        <v>0</v>
      </c>
      <c r="I552" s="591">
        <f t="shared" si="185"/>
        <v>0</v>
      </c>
      <c r="J552" s="591">
        <f t="shared" si="185"/>
        <v>0</v>
      </c>
      <c r="K552" s="591">
        <f t="shared" si="173"/>
        <v>0</v>
      </c>
      <c r="L552" s="591">
        <f t="shared" si="174"/>
        <v>0</v>
      </c>
      <c r="M552" s="217">
        <f t="shared" si="180"/>
        <v>0</v>
      </c>
      <c r="N552" s="292">
        <f>N564+N553</f>
        <v>10492.181</v>
      </c>
      <c r="R552" s="591">
        <f t="shared" si="186"/>
        <v>250</v>
      </c>
      <c r="S552" s="591">
        <f t="shared" si="186"/>
        <v>0</v>
      </c>
      <c r="T552" s="309">
        <f>I552-G552</f>
        <v>0</v>
      </c>
      <c r="U552" s="498">
        <f t="shared" si="187"/>
        <v>0</v>
      </c>
      <c r="V552" s="498">
        <f t="shared" si="187"/>
        <v>0</v>
      </c>
      <c r="W552" s="310">
        <f t="shared" si="181"/>
        <v>0</v>
      </c>
      <c r="X552" s="310">
        <f t="shared" si="182"/>
        <v>0</v>
      </c>
    </row>
    <row r="553" spans="1:24" s="307" customFormat="1" ht="15" hidden="1" x14ac:dyDescent="0.2">
      <c r="A553" s="598" t="s">
        <v>1530</v>
      </c>
      <c r="B553" s="306" t="s">
        <v>7</v>
      </c>
      <c r="C553" s="354" t="s">
        <v>8</v>
      </c>
      <c r="D553" s="354" t="s">
        <v>606</v>
      </c>
      <c r="E553" s="450">
        <v>7320282220</v>
      </c>
      <c r="F553" s="450"/>
      <c r="G553" s="498">
        <f t="shared" si="185"/>
        <v>0</v>
      </c>
      <c r="H553" s="498">
        <f t="shared" si="185"/>
        <v>0</v>
      </c>
      <c r="I553" s="591">
        <f t="shared" si="185"/>
        <v>0</v>
      </c>
      <c r="J553" s="591">
        <f t="shared" si="185"/>
        <v>0</v>
      </c>
      <c r="K553" s="591">
        <f t="shared" si="173"/>
        <v>0</v>
      </c>
      <c r="L553" s="591">
        <f t="shared" si="174"/>
        <v>0</v>
      </c>
      <c r="M553" s="217">
        <f t="shared" si="180"/>
        <v>0</v>
      </c>
      <c r="N553" s="292">
        <f>N554</f>
        <v>4961.7539999999999</v>
      </c>
      <c r="R553" s="591">
        <f t="shared" si="186"/>
        <v>250</v>
      </c>
      <c r="S553" s="591">
        <f t="shared" si="186"/>
        <v>0</v>
      </c>
      <c r="T553" s="309">
        <f>I553-G553</f>
        <v>0</v>
      </c>
      <c r="U553" s="498">
        <f t="shared" si="187"/>
        <v>0</v>
      </c>
      <c r="V553" s="498">
        <f t="shared" si="187"/>
        <v>0</v>
      </c>
      <c r="W553" s="310">
        <f t="shared" si="181"/>
        <v>0</v>
      </c>
      <c r="X553" s="310">
        <f t="shared" si="182"/>
        <v>0</v>
      </c>
    </row>
    <row r="554" spans="1:24" ht="15" hidden="1" x14ac:dyDescent="0.2">
      <c r="A554" s="124" t="s">
        <v>126</v>
      </c>
      <c r="B554" s="243" t="s">
        <v>7</v>
      </c>
      <c r="C554" s="353" t="s">
        <v>8</v>
      </c>
      <c r="D554" s="353" t="s">
        <v>606</v>
      </c>
      <c r="E554" s="369">
        <v>7320282220</v>
      </c>
      <c r="F554" s="369" t="s">
        <v>124</v>
      </c>
      <c r="G554" s="288"/>
      <c r="H554" s="288"/>
      <c r="I554" s="288"/>
      <c r="J554" s="288"/>
      <c r="K554" s="43">
        <f t="shared" si="173"/>
        <v>0</v>
      </c>
      <c r="L554" s="43">
        <f t="shared" si="174"/>
        <v>0</v>
      </c>
      <c r="M554" s="217">
        <f t="shared" si="180"/>
        <v>0</v>
      </c>
      <c r="N554" s="43">
        <v>4961.7539999999999</v>
      </c>
      <c r="R554" s="288">
        <v>250</v>
      </c>
      <c r="S554" s="288"/>
      <c r="T554" s="217">
        <f>I554-G554</f>
        <v>0</v>
      </c>
      <c r="U554" s="288"/>
      <c r="V554" s="288"/>
      <c r="W554" s="203">
        <f t="shared" si="181"/>
        <v>0</v>
      </c>
      <c r="X554" s="203">
        <f t="shared" si="182"/>
        <v>0</v>
      </c>
    </row>
    <row r="555" spans="1:24" ht="25.5" hidden="1" x14ac:dyDescent="0.2">
      <c r="A555" s="133" t="s">
        <v>1511</v>
      </c>
      <c r="B555" s="388" t="s">
        <v>7</v>
      </c>
      <c r="C555" s="389" t="s">
        <v>8</v>
      </c>
      <c r="D555" s="389" t="s">
        <v>606</v>
      </c>
      <c r="E555" s="515" t="s">
        <v>1505</v>
      </c>
      <c r="F555" s="390"/>
      <c r="G555" s="391">
        <f>G556+G559</f>
        <v>0</v>
      </c>
      <c r="H555" s="391">
        <f>H556+H559</f>
        <v>0</v>
      </c>
      <c r="I555" s="391">
        <f>I556+I559</f>
        <v>0</v>
      </c>
      <c r="J555" s="391">
        <f>J556+J559</f>
        <v>0</v>
      </c>
      <c r="K555" s="391">
        <f t="shared" si="173"/>
        <v>0</v>
      </c>
      <c r="L555" s="391">
        <f t="shared" si="174"/>
        <v>0</v>
      </c>
      <c r="M555" s="217"/>
      <c r="N555" s="43"/>
      <c r="R555" s="391">
        <f>R556+R559</f>
        <v>200</v>
      </c>
      <c r="S555" s="391">
        <f>S556+S559</f>
        <v>0</v>
      </c>
      <c r="T555" s="217"/>
      <c r="U555" s="288"/>
      <c r="V555" s="288"/>
      <c r="W555" s="203"/>
      <c r="X555" s="203"/>
    </row>
    <row r="556" spans="1:24" ht="15" hidden="1" x14ac:dyDescent="0.2">
      <c r="A556" s="133" t="s">
        <v>1512</v>
      </c>
      <c r="B556" s="388" t="s">
        <v>7</v>
      </c>
      <c r="C556" s="389" t="s">
        <v>8</v>
      </c>
      <c r="D556" s="389" t="s">
        <v>606</v>
      </c>
      <c r="E556" s="515" t="s">
        <v>1506</v>
      </c>
      <c r="F556" s="390"/>
      <c r="G556" s="391">
        <f t="shared" ref="G556:J557" si="188">G557</f>
        <v>0</v>
      </c>
      <c r="H556" s="391">
        <f t="shared" si="188"/>
        <v>0</v>
      </c>
      <c r="I556" s="391">
        <f t="shared" si="188"/>
        <v>0</v>
      </c>
      <c r="J556" s="391">
        <f t="shared" si="188"/>
        <v>0</v>
      </c>
      <c r="K556" s="391">
        <f t="shared" si="173"/>
        <v>0</v>
      </c>
      <c r="L556" s="391">
        <f t="shared" si="174"/>
        <v>0</v>
      </c>
      <c r="M556" s="217"/>
      <c r="N556" s="43"/>
      <c r="R556" s="391">
        <f>R557</f>
        <v>160</v>
      </c>
      <c r="S556" s="391">
        <f>S557</f>
        <v>0</v>
      </c>
      <c r="T556" s="217"/>
      <c r="U556" s="288"/>
      <c r="V556" s="288"/>
      <c r="W556" s="203"/>
      <c r="X556" s="203"/>
    </row>
    <row r="557" spans="1:24" ht="15" hidden="1" x14ac:dyDescent="0.2">
      <c r="A557" s="133" t="s">
        <v>1655</v>
      </c>
      <c r="B557" s="388" t="s">
        <v>7</v>
      </c>
      <c r="C557" s="389" t="s">
        <v>8</v>
      </c>
      <c r="D557" s="389" t="s">
        <v>606</v>
      </c>
      <c r="E557" s="515" t="s">
        <v>1656</v>
      </c>
      <c r="F557" s="390"/>
      <c r="G557" s="391">
        <f t="shared" si="188"/>
        <v>0</v>
      </c>
      <c r="H557" s="391">
        <f t="shared" si="188"/>
        <v>0</v>
      </c>
      <c r="I557" s="391">
        <f t="shared" si="188"/>
        <v>0</v>
      </c>
      <c r="J557" s="391">
        <f t="shared" si="188"/>
        <v>0</v>
      </c>
      <c r="K557" s="391">
        <f t="shared" si="173"/>
        <v>0</v>
      </c>
      <c r="L557" s="391">
        <f t="shared" si="174"/>
        <v>0</v>
      </c>
      <c r="M557" s="217"/>
      <c r="N557" s="43"/>
      <c r="R557" s="391">
        <f>R558</f>
        <v>160</v>
      </c>
      <c r="S557" s="391">
        <f>S558</f>
        <v>0</v>
      </c>
      <c r="T557" s="217"/>
      <c r="U557" s="288"/>
      <c r="V557" s="288"/>
      <c r="W557" s="203"/>
      <c r="X557" s="203"/>
    </row>
    <row r="558" spans="1:24" ht="15" hidden="1" x14ac:dyDescent="0.2">
      <c r="A558" s="186" t="s">
        <v>126</v>
      </c>
      <c r="B558" s="243" t="s">
        <v>7</v>
      </c>
      <c r="C558" s="353" t="s">
        <v>8</v>
      </c>
      <c r="D558" s="353" t="s">
        <v>606</v>
      </c>
      <c r="E558" s="386" t="s">
        <v>1656</v>
      </c>
      <c r="F558" s="369">
        <v>622</v>
      </c>
      <c r="G558" s="288"/>
      <c r="H558" s="288"/>
      <c r="I558" s="288"/>
      <c r="J558" s="288"/>
      <c r="K558" s="43">
        <f t="shared" si="173"/>
        <v>0</v>
      </c>
      <c r="L558" s="43">
        <f t="shared" si="174"/>
        <v>0</v>
      </c>
      <c r="M558" s="217"/>
      <c r="N558" s="43"/>
      <c r="R558" s="288">
        <v>160</v>
      </c>
      <c r="S558" s="288"/>
      <c r="T558" s="217"/>
      <c r="U558" s="288"/>
      <c r="V558" s="288"/>
      <c r="W558" s="203"/>
      <c r="X558" s="203"/>
    </row>
    <row r="559" spans="1:24" ht="15" hidden="1" x14ac:dyDescent="0.2">
      <c r="A559" s="133" t="s">
        <v>1515</v>
      </c>
      <c r="B559" s="388" t="s">
        <v>7</v>
      </c>
      <c r="C559" s="389" t="s">
        <v>8</v>
      </c>
      <c r="D559" s="389" t="s">
        <v>606</v>
      </c>
      <c r="E559" s="515" t="s">
        <v>1508</v>
      </c>
      <c r="F559" s="390"/>
      <c r="G559" s="391">
        <f t="shared" ref="G559:J560" si="189">G560</f>
        <v>0</v>
      </c>
      <c r="H559" s="391">
        <f t="shared" si="189"/>
        <v>0</v>
      </c>
      <c r="I559" s="391">
        <f t="shared" si="189"/>
        <v>0</v>
      </c>
      <c r="J559" s="391">
        <f t="shared" si="189"/>
        <v>0</v>
      </c>
      <c r="K559" s="391">
        <f t="shared" si="173"/>
        <v>0</v>
      </c>
      <c r="L559" s="391">
        <f t="shared" si="174"/>
        <v>0</v>
      </c>
      <c r="M559" s="217"/>
      <c r="N559" s="43"/>
      <c r="R559" s="391">
        <f>R560</f>
        <v>40</v>
      </c>
      <c r="S559" s="391">
        <f>S560</f>
        <v>0</v>
      </c>
      <c r="T559" s="217"/>
      <c r="U559" s="288"/>
      <c r="V559" s="288"/>
      <c r="W559" s="203"/>
      <c r="X559" s="203"/>
    </row>
    <row r="560" spans="1:24" ht="15" hidden="1" x14ac:dyDescent="0.2">
      <c r="A560" s="133" t="s">
        <v>1513</v>
      </c>
      <c r="B560" s="388" t="s">
        <v>7</v>
      </c>
      <c r="C560" s="389" t="s">
        <v>8</v>
      </c>
      <c r="D560" s="389" t="s">
        <v>606</v>
      </c>
      <c r="E560" s="515" t="s">
        <v>1509</v>
      </c>
      <c r="F560" s="390"/>
      <c r="G560" s="391">
        <f t="shared" si="189"/>
        <v>0</v>
      </c>
      <c r="H560" s="391">
        <f t="shared" si="189"/>
        <v>0</v>
      </c>
      <c r="I560" s="391">
        <f t="shared" si="189"/>
        <v>0</v>
      </c>
      <c r="J560" s="391">
        <f t="shared" si="189"/>
        <v>0</v>
      </c>
      <c r="K560" s="391">
        <f t="shared" si="173"/>
        <v>0</v>
      </c>
      <c r="L560" s="391">
        <f t="shared" si="174"/>
        <v>0</v>
      </c>
      <c r="M560" s="217"/>
      <c r="N560" s="43"/>
      <c r="R560" s="391">
        <f>R561</f>
        <v>40</v>
      </c>
      <c r="S560" s="391">
        <f>S561</f>
        <v>0</v>
      </c>
      <c r="T560" s="217"/>
      <c r="U560" s="288"/>
      <c r="V560" s="288"/>
      <c r="W560" s="203"/>
      <c r="X560" s="203"/>
    </row>
    <row r="561" spans="1:24" ht="25.5" hidden="1" x14ac:dyDescent="0.2">
      <c r="A561" s="186" t="s">
        <v>646</v>
      </c>
      <c r="B561" s="243" t="s">
        <v>7</v>
      </c>
      <c r="C561" s="353" t="s">
        <v>8</v>
      </c>
      <c r="D561" s="353" t="s">
        <v>606</v>
      </c>
      <c r="E561" s="386" t="s">
        <v>1509</v>
      </c>
      <c r="F561" s="369">
        <v>621</v>
      </c>
      <c r="G561" s="288"/>
      <c r="H561" s="288"/>
      <c r="I561" s="288"/>
      <c r="J561" s="288"/>
      <c r="K561" s="43">
        <f t="shared" si="173"/>
        <v>0</v>
      </c>
      <c r="L561" s="43">
        <f t="shared" si="174"/>
        <v>0</v>
      </c>
      <c r="M561" s="217"/>
      <c r="N561" s="43"/>
      <c r="R561" s="288">
        <v>40</v>
      </c>
      <c r="S561" s="288"/>
      <c r="T561" s="217"/>
      <c r="U561" s="288"/>
      <c r="V561" s="288"/>
      <c r="W561" s="203"/>
      <c r="X561" s="203"/>
    </row>
    <row r="562" spans="1:24" s="317" customFormat="1" ht="12" hidden="1" customHeight="1" x14ac:dyDescent="0.2">
      <c r="A562" s="451" t="s">
        <v>65</v>
      </c>
      <c r="B562" s="306" t="s">
        <v>7</v>
      </c>
      <c r="C562" s="354" t="s">
        <v>8</v>
      </c>
      <c r="D562" s="354" t="s">
        <v>606</v>
      </c>
      <c r="E562" s="450" t="s">
        <v>312</v>
      </c>
      <c r="F562" s="450"/>
      <c r="G562" s="498">
        <f t="shared" ref="G562:J563" si="190">G563</f>
        <v>0</v>
      </c>
      <c r="H562" s="498">
        <f t="shared" si="190"/>
        <v>0</v>
      </c>
      <c r="I562" s="591">
        <f t="shared" si="190"/>
        <v>0</v>
      </c>
      <c r="J562" s="591">
        <f t="shared" si="190"/>
        <v>0</v>
      </c>
      <c r="K562" s="591">
        <f t="shared" si="173"/>
        <v>0</v>
      </c>
      <c r="L562" s="591">
        <f t="shared" si="174"/>
        <v>0</v>
      </c>
      <c r="M562" s="217">
        <f t="shared" si="180"/>
        <v>0</v>
      </c>
      <c r="N562" s="318"/>
      <c r="O562" s="318"/>
      <c r="P562" s="318"/>
      <c r="Q562" s="318"/>
      <c r="R562" s="591">
        <f>R563</f>
        <v>0</v>
      </c>
      <c r="S562" s="591">
        <f>S563</f>
        <v>0</v>
      </c>
      <c r="T562" s="318">
        <f>T563</f>
        <v>0</v>
      </c>
      <c r="U562" s="498">
        <f>U563</f>
        <v>0</v>
      </c>
      <c r="V562" s="498">
        <f>V563</f>
        <v>0</v>
      </c>
      <c r="W562" s="310">
        <f t="shared" si="181"/>
        <v>0</v>
      </c>
      <c r="X562" s="310">
        <f t="shared" si="182"/>
        <v>0</v>
      </c>
    </row>
    <row r="563" spans="1:24" s="317" customFormat="1" ht="17.25" hidden="1" customHeight="1" x14ac:dyDescent="0.2">
      <c r="A563" s="451" t="s">
        <v>1230</v>
      </c>
      <c r="B563" s="306" t="s">
        <v>7</v>
      </c>
      <c r="C563" s="354" t="s">
        <v>8</v>
      </c>
      <c r="D563" s="354" t="s">
        <v>606</v>
      </c>
      <c r="E563" s="450">
        <v>9990074410</v>
      </c>
      <c r="F563" s="450"/>
      <c r="G563" s="498">
        <f t="shared" si="190"/>
        <v>0</v>
      </c>
      <c r="H563" s="498">
        <f t="shared" si="190"/>
        <v>0</v>
      </c>
      <c r="I563" s="591">
        <f t="shared" si="190"/>
        <v>0</v>
      </c>
      <c r="J563" s="591">
        <f t="shared" si="190"/>
        <v>0</v>
      </c>
      <c r="K563" s="591">
        <f t="shared" si="173"/>
        <v>0</v>
      </c>
      <c r="L563" s="591">
        <f t="shared" si="174"/>
        <v>0</v>
      </c>
      <c r="M563" s="217">
        <f t="shared" si="180"/>
        <v>0</v>
      </c>
      <c r="N563" s="318">
        <f>N564</f>
        <v>5530.4269999999997</v>
      </c>
      <c r="R563" s="591">
        <f>R564</f>
        <v>0</v>
      </c>
      <c r="S563" s="591">
        <f>S564</f>
        <v>0</v>
      </c>
      <c r="T563" s="319">
        <f t="shared" ref="T563:T580" si="191">I563-G563</f>
        <v>0</v>
      </c>
      <c r="U563" s="498">
        <f>U564</f>
        <v>0</v>
      </c>
      <c r="V563" s="498">
        <f>V564</f>
        <v>0</v>
      </c>
      <c r="W563" s="310">
        <f t="shared" si="181"/>
        <v>0</v>
      </c>
      <c r="X563" s="310">
        <f t="shared" si="182"/>
        <v>0</v>
      </c>
    </row>
    <row r="564" spans="1:24" s="283" customFormat="1" ht="17.25" hidden="1" customHeight="1" x14ac:dyDescent="0.2">
      <c r="A564" s="124" t="s">
        <v>126</v>
      </c>
      <c r="B564" s="243" t="s">
        <v>7</v>
      </c>
      <c r="C564" s="353" t="s">
        <v>8</v>
      </c>
      <c r="D564" s="353" t="s">
        <v>606</v>
      </c>
      <c r="E564" s="369">
        <v>9990074410</v>
      </c>
      <c r="F564" s="369" t="s">
        <v>124</v>
      </c>
      <c r="G564" s="288">
        <v>0</v>
      </c>
      <c r="H564" s="288"/>
      <c r="I564" s="288">
        <v>0</v>
      </c>
      <c r="J564" s="288"/>
      <c r="K564" s="43">
        <f t="shared" si="173"/>
        <v>0</v>
      </c>
      <c r="L564" s="43">
        <f t="shared" si="174"/>
        <v>0</v>
      </c>
      <c r="M564" s="217">
        <f t="shared" si="180"/>
        <v>0</v>
      </c>
      <c r="N564" s="255">
        <v>5530.4269999999997</v>
      </c>
      <c r="R564" s="288">
        <v>0</v>
      </c>
      <c r="S564" s="288"/>
      <c r="T564" s="284">
        <f t="shared" si="191"/>
        <v>0</v>
      </c>
      <c r="U564" s="288">
        <v>0</v>
      </c>
      <c r="V564" s="288"/>
      <c r="W564" s="203">
        <f t="shared" si="181"/>
        <v>0</v>
      </c>
      <c r="X564" s="203">
        <f t="shared" si="182"/>
        <v>0</v>
      </c>
    </row>
    <row r="565" spans="1:24" s="307" customFormat="1" ht="15" x14ac:dyDescent="0.2">
      <c r="A565" s="746" t="s">
        <v>610</v>
      </c>
      <c r="B565" s="306" t="s">
        <v>7</v>
      </c>
      <c r="C565" s="354" t="s">
        <v>611</v>
      </c>
      <c r="D565" s="354"/>
      <c r="E565" s="450"/>
      <c r="F565" s="450"/>
      <c r="G565" s="591">
        <f>G689+G566</f>
        <v>72450.396219999995</v>
      </c>
      <c r="H565" s="591">
        <f>H689+H566</f>
        <v>1239.0030099999999</v>
      </c>
      <c r="I565" s="591">
        <f>I689+I566</f>
        <v>91940.937589999987</v>
      </c>
      <c r="J565" s="591">
        <f>J689+J566</f>
        <v>1304.0030099999999</v>
      </c>
      <c r="K565" s="591">
        <f t="shared" si="173"/>
        <v>19490.541369999992</v>
      </c>
      <c r="L565" s="591">
        <f t="shared" si="174"/>
        <v>65</v>
      </c>
      <c r="M565" s="217">
        <f t="shared" si="180"/>
        <v>0</v>
      </c>
      <c r="N565" s="312" t="e">
        <f>N689+N566</f>
        <v>#REF!</v>
      </c>
      <c r="R565" s="591">
        <f>R689+R566</f>
        <v>80878.173139999999</v>
      </c>
      <c r="S565" s="591">
        <f>S689+S566</f>
        <v>15004.312540000001</v>
      </c>
      <c r="T565" s="309">
        <f t="shared" si="191"/>
        <v>19490.541369999992</v>
      </c>
      <c r="U565" s="498">
        <f>U689+U566</f>
        <v>147899.89949000001</v>
      </c>
      <c r="V565" s="498">
        <f>V689+V566</f>
        <v>87724.958280000006</v>
      </c>
      <c r="W565" s="310">
        <f t="shared" si="181"/>
        <v>-19490.541369999992</v>
      </c>
      <c r="X565" s="310">
        <f t="shared" si="182"/>
        <v>0</v>
      </c>
    </row>
    <row r="566" spans="1:24" s="307" customFormat="1" ht="15" x14ac:dyDescent="0.2">
      <c r="A566" s="746" t="s">
        <v>93</v>
      </c>
      <c r="B566" s="306" t="s">
        <v>7</v>
      </c>
      <c r="C566" s="354" t="s">
        <v>611</v>
      </c>
      <c r="D566" s="354" t="s">
        <v>605</v>
      </c>
      <c r="E566" s="450"/>
      <c r="F566" s="450"/>
      <c r="G566" s="591">
        <f>G567+G645+G668+G672+G677+G651</f>
        <v>59819.035880000003</v>
      </c>
      <c r="H566" s="591">
        <f>H567+H645+H668+H672+H677+H651</f>
        <v>1239.0030099999999</v>
      </c>
      <c r="I566" s="591">
        <f>I567+I645+I668+I672+I677+I651</f>
        <v>73580.236619999996</v>
      </c>
      <c r="J566" s="591">
        <f>J567+J645+J668+J672+J677+J651</f>
        <v>1269.0030099999999</v>
      </c>
      <c r="K566" s="591">
        <f t="shared" si="173"/>
        <v>13761.200739999993</v>
      </c>
      <c r="L566" s="591">
        <f t="shared" si="174"/>
        <v>30</v>
      </c>
      <c r="M566" s="217">
        <f t="shared" si="180"/>
        <v>0</v>
      </c>
      <c r="N566" s="292" t="e">
        <f>N567+N645+N668</f>
        <v>#REF!</v>
      </c>
      <c r="R566" s="591">
        <f>R567+R645+R668+R672+R677+R651</f>
        <v>64241.756009999997</v>
      </c>
      <c r="S566" s="591">
        <f>S567+S645+S668+S672+S677+S651</f>
        <v>15004.312540000001</v>
      </c>
      <c r="T566" s="309">
        <f t="shared" si="191"/>
        <v>13761.200739999993</v>
      </c>
      <c r="U566" s="498">
        <f>U567+U645+U668+U672+U677</f>
        <v>53421.004490000007</v>
      </c>
      <c r="V566" s="498">
        <f>V567+V645+V668+V672+V677</f>
        <v>12669.688629999999</v>
      </c>
      <c r="W566" s="310">
        <f t="shared" si="181"/>
        <v>-13761.200739999993</v>
      </c>
      <c r="X566" s="310">
        <f t="shared" si="182"/>
        <v>0</v>
      </c>
    </row>
    <row r="567" spans="1:24" s="323" customFormat="1" ht="15" x14ac:dyDescent="0.2">
      <c r="A567" s="746" t="s">
        <v>326</v>
      </c>
      <c r="B567" s="306" t="s">
        <v>7</v>
      </c>
      <c r="C567" s="354" t="s">
        <v>611</v>
      </c>
      <c r="D567" s="354" t="s">
        <v>605</v>
      </c>
      <c r="E567" s="450" t="s">
        <v>323</v>
      </c>
      <c r="F567" s="450"/>
      <c r="G567" s="591">
        <f>G568+G611</f>
        <v>58703.385880000002</v>
      </c>
      <c r="H567" s="591">
        <f>H568+H611</f>
        <v>1239.0030099999999</v>
      </c>
      <c r="I567" s="591">
        <f>I568+I611</f>
        <v>72261.410619999995</v>
      </c>
      <c r="J567" s="591">
        <f>J568+J611</f>
        <v>1239.0030099999999</v>
      </c>
      <c r="K567" s="591">
        <f t="shared" ref="K567:K633" si="192">I567-G567</f>
        <v>13558.024739999993</v>
      </c>
      <c r="L567" s="591">
        <f t="shared" ref="L567:L633" si="193">J567-H567</f>
        <v>0</v>
      </c>
      <c r="M567" s="217">
        <f t="shared" si="180"/>
        <v>0</v>
      </c>
      <c r="N567" s="292">
        <f>N568</f>
        <v>21154.667999999998</v>
      </c>
      <c r="R567" s="591">
        <f>R568+R611</f>
        <v>63792.756009999997</v>
      </c>
      <c r="S567" s="591">
        <f>S568+S611</f>
        <v>15004.312540000001</v>
      </c>
      <c r="T567" s="309">
        <f t="shared" si="191"/>
        <v>13558.024739999993</v>
      </c>
      <c r="U567" s="498">
        <f>U568+U611</f>
        <v>53081.969490000003</v>
      </c>
      <c r="V567" s="498">
        <f>V568+V611</f>
        <v>12669.688629999999</v>
      </c>
      <c r="W567" s="310">
        <f t="shared" si="181"/>
        <v>-13558.024739999993</v>
      </c>
      <c r="X567" s="310">
        <f t="shared" si="182"/>
        <v>0</v>
      </c>
    </row>
    <row r="568" spans="1:24" s="323" customFormat="1" ht="15" x14ac:dyDescent="0.2">
      <c r="A568" s="746" t="s">
        <v>319</v>
      </c>
      <c r="B568" s="306" t="s">
        <v>7</v>
      </c>
      <c r="C568" s="354" t="s">
        <v>611</v>
      </c>
      <c r="D568" s="354" t="s">
        <v>605</v>
      </c>
      <c r="E568" s="450" t="s">
        <v>322</v>
      </c>
      <c r="F568" s="450"/>
      <c r="G568" s="591">
        <f>G590+G569+G607</f>
        <v>57663.250820000001</v>
      </c>
      <c r="H568" s="591">
        <f>H590+H569+H607</f>
        <v>379.4</v>
      </c>
      <c r="I568" s="591">
        <f>I590+I569+I607</f>
        <v>71221.275559999995</v>
      </c>
      <c r="J568" s="591">
        <f>J590+J569+J607</f>
        <v>379.4</v>
      </c>
      <c r="K568" s="591">
        <f t="shared" si="192"/>
        <v>13558.024739999993</v>
      </c>
      <c r="L568" s="591">
        <f t="shared" si="193"/>
        <v>0</v>
      </c>
      <c r="M568" s="217">
        <f t="shared" si="180"/>
        <v>0</v>
      </c>
      <c r="N568" s="292">
        <f>N590+N569</f>
        <v>21154.667999999998</v>
      </c>
      <c r="R568" s="591">
        <f>R590+R569+R607</f>
        <v>47274.107640000002</v>
      </c>
      <c r="S568" s="591">
        <f>S590+S569+S607</f>
        <v>330.2278</v>
      </c>
      <c r="T568" s="309">
        <f t="shared" si="191"/>
        <v>13558.024739999993</v>
      </c>
      <c r="U568" s="498">
        <f>U590+U569+U607</f>
        <v>40318.092600000004</v>
      </c>
      <c r="V568" s="498">
        <f>V590+V569+V607</f>
        <v>50</v>
      </c>
      <c r="W568" s="310">
        <f t="shared" si="181"/>
        <v>-13558.024739999993</v>
      </c>
      <c r="X568" s="310">
        <f t="shared" si="182"/>
        <v>0</v>
      </c>
    </row>
    <row r="569" spans="1:24" s="323" customFormat="1" ht="29.25" customHeight="1" x14ac:dyDescent="0.2">
      <c r="A569" s="746" t="s">
        <v>974</v>
      </c>
      <c r="B569" s="306" t="s">
        <v>7</v>
      </c>
      <c r="C569" s="354" t="s">
        <v>611</v>
      </c>
      <c r="D569" s="354" t="s">
        <v>605</v>
      </c>
      <c r="E569" s="450" t="s">
        <v>327</v>
      </c>
      <c r="F569" s="450"/>
      <c r="G569" s="591">
        <f>G576+G580+G578+G584+G570+G574+G586+G582+G588+G572</f>
        <v>17891.007509999999</v>
      </c>
      <c r="H569" s="591">
        <f>H576+H580+H578+H584+H570+H574+H586+H582+H588+H572</f>
        <v>179.4</v>
      </c>
      <c r="I569" s="591">
        <f>I576+I580+I578+I584+I570+I574+I586+I582+I588+I572</f>
        <v>23366.499899999999</v>
      </c>
      <c r="J569" s="591">
        <f>J576+J580+J578+J584+J570+J574+J586+J582+J588+J572</f>
        <v>179.4</v>
      </c>
      <c r="K569" s="591">
        <f t="shared" si="192"/>
        <v>5475.4923899999994</v>
      </c>
      <c r="L569" s="591">
        <f t="shared" si="193"/>
        <v>0</v>
      </c>
      <c r="M569" s="217">
        <f t="shared" si="180"/>
        <v>0</v>
      </c>
      <c r="N569" s="292">
        <f>N576+N580+N578+N584+N570+N574</f>
        <v>9087.4239999999991</v>
      </c>
      <c r="R569" s="591">
        <f>R576+R580+R578+R584+R570+R574+R586+R582+R588+R572</f>
        <v>15930.728000000001</v>
      </c>
      <c r="S569" s="591">
        <f>S576+S580+S578+S584+S570+S574+S586+S582+S588+S572</f>
        <v>180.2278</v>
      </c>
      <c r="T569" s="309">
        <f t="shared" si="191"/>
        <v>5475.4923899999994</v>
      </c>
      <c r="U569" s="498">
        <f>U576+U580+U578+U584+U570+U574+U586+U582+U588</f>
        <v>15346.032330000002</v>
      </c>
      <c r="V569" s="498">
        <f>V576+V580+V578+V584+V570+V574+V586+V582+V588</f>
        <v>0</v>
      </c>
      <c r="W569" s="310">
        <f t="shared" si="181"/>
        <v>-5475.4923899999994</v>
      </c>
      <c r="X569" s="310">
        <f t="shared" si="182"/>
        <v>0</v>
      </c>
    </row>
    <row r="570" spans="1:24" s="307" customFormat="1" ht="18.75" customHeight="1" x14ac:dyDescent="0.2">
      <c r="A570" s="746" t="s">
        <v>647</v>
      </c>
      <c r="B570" s="306" t="s">
        <v>7</v>
      </c>
      <c r="C570" s="354" t="s">
        <v>611</v>
      </c>
      <c r="D570" s="354" t="s">
        <v>605</v>
      </c>
      <c r="E570" s="572" t="s">
        <v>555</v>
      </c>
      <c r="F570" s="572"/>
      <c r="G570" s="591">
        <f>G571</f>
        <v>3610.7759999999998</v>
      </c>
      <c r="H570" s="591">
        <f>H571</f>
        <v>0</v>
      </c>
      <c r="I570" s="591">
        <f>I571</f>
        <v>4469.1707999999999</v>
      </c>
      <c r="J570" s="591">
        <f>J571</f>
        <v>0</v>
      </c>
      <c r="K570" s="591">
        <f t="shared" si="192"/>
        <v>858.39480000000003</v>
      </c>
      <c r="L570" s="591">
        <f t="shared" si="193"/>
        <v>0</v>
      </c>
      <c r="M570" s="217">
        <f t="shared" si="180"/>
        <v>0</v>
      </c>
      <c r="N570" s="292">
        <f>N571</f>
        <v>7922.674</v>
      </c>
      <c r="R570" s="591">
        <f>R571</f>
        <v>5164.9470000000001</v>
      </c>
      <c r="S570" s="591">
        <f>S571</f>
        <v>0</v>
      </c>
      <c r="T570" s="309">
        <f t="shared" si="191"/>
        <v>858.39480000000003</v>
      </c>
      <c r="U570" s="498">
        <f>U571</f>
        <v>7036.3760000000002</v>
      </c>
      <c r="V570" s="498">
        <f>V571</f>
        <v>0</v>
      </c>
      <c r="W570" s="310">
        <f t="shared" si="181"/>
        <v>-858.39480000000003</v>
      </c>
      <c r="X570" s="310">
        <f t="shared" si="182"/>
        <v>0</v>
      </c>
    </row>
    <row r="571" spans="1:24" ht="25.5" x14ac:dyDescent="0.2">
      <c r="A571" s="739" t="s">
        <v>648</v>
      </c>
      <c r="B571" s="243" t="s">
        <v>7</v>
      </c>
      <c r="C571" s="353" t="s">
        <v>611</v>
      </c>
      <c r="D571" s="353" t="s">
        <v>605</v>
      </c>
      <c r="E571" s="369" t="s">
        <v>555</v>
      </c>
      <c r="F571" s="369" t="s">
        <v>127</v>
      </c>
      <c r="G571" s="288">
        <v>3610.7759999999998</v>
      </c>
      <c r="H571" s="288"/>
      <c r="I571" s="288">
        <v>4469.1707999999999</v>
      </c>
      <c r="J571" s="288"/>
      <c r="K571" s="43">
        <f t="shared" si="192"/>
        <v>858.39480000000003</v>
      </c>
      <c r="L571" s="43">
        <f t="shared" si="193"/>
        <v>0</v>
      </c>
      <c r="M571" s="217">
        <f t="shared" si="180"/>
        <v>0</v>
      </c>
      <c r="N571" s="43">
        <v>7922.674</v>
      </c>
      <c r="R571" s="288">
        <v>5164.9470000000001</v>
      </c>
      <c r="S571" s="288"/>
      <c r="T571" s="217">
        <f t="shared" si="191"/>
        <v>858.39480000000003</v>
      </c>
      <c r="U571" s="288">
        <v>7036.3760000000002</v>
      </c>
      <c r="V571" s="288">
        <v>0</v>
      </c>
      <c r="W571" s="203">
        <f t="shared" si="181"/>
        <v>-858.39480000000003</v>
      </c>
      <c r="X571" s="203">
        <f t="shared" si="182"/>
        <v>0</v>
      </c>
    </row>
    <row r="572" spans="1:24" ht="15" hidden="1" customHeight="1" x14ac:dyDescent="0.2">
      <c r="A572" s="133" t="s">
        <v>1488</v>
      </c>
      <c r="B572" s="388" t="s">
        <v>7</v>
      </c>
      <c r="C572" s="389" t="s">
        <v>611</v>
      </c>
      <c r="D572" s="389" t="s">
        <v>605</v>
      </c>
      <c r="E572" s="390">
        <v>7310182940</v>
      </c>
      <c r="F572" s="390"/>
      <c r="G572" s="391">
        <f>G573</f>
        <v>0</v>
      </c>
      <c r="H572" s="391">
        <f>H573</f>
        <v>0</v>
      </c>
      <c r="I572" s="391">
        <f>I573</f>
        <v>0</v>
      </c>
      <c r="J572" s="391">
        <f>J573</f>
        <v>0</v>
      </c>
      <c r="K572" s="391">
        <f t="shared" si="192"/>
        <v>0</v>
      </c>
      <c r="L572" s="391">
        <f t="shared" si="193"/>
        <v>0</v>
      </c>
      <c r="M572" s="217"/>
      <c r="N572" s="43"/>
      <c r="R572" s="391">
        <f>R573</f>
        <v>5.28</v>
      </c>
      <c r="S572" s="391">
        <f>S573</f>
        <v>0</v>
      </c>
      <c r="T572" s="217"/>
      <c r="U572" s="288"/>
      <c r="V572" s="288"/>
      <c r="W572" s="203"/>
      <c r="X572" s="203"/>
    </row>
    <row r="573" spans="1:24" ht="23.25" hidden="1" customHeight="1" x14ac:dyDescent="0.2">
      <c r="A573" s="186" t="s">
        <v>648</v>
      </c>
      <c r="B573" s="243" t="s">
        <v>7</v>
      </c>
      <c r="C573" s="353" t="s">
        <v>611</v>
      </c>
      <c r="D573" s="353" t="s">
        <v>605</v>
      </c>
      <c r="E573" s="369">
        <v>7310182940</v>
      </c>
      <c r="F573" s="369">
        <v>611</v>
      </c>
      <c r="G573" s="288"/>
      <c r="H573" s="288"/>
      <c r="I573" s="288"/>
      <c r="J573" s="288"/>
      <c r="K573" s="43">
        <f t="shared" si="192"/>
        <v>0</v>
      </c>
      <c r="L573" s="43">
        <f t="shared" si="193"/>
        <v>0</v>
      </c>
      <c r="M573" s="217"/>
      <c r="N573" s="43"/>
      <c r="R573" s="288">
        <v>5.28</v>
      </c>
      <c r="S573" s="288"/>
      <c r="T573" s="217"/>
      <c r="U573" s="288"/>
      <c r="V573" s="288"/>
      <c r="W573" s="203"/>
      <c r="X573" s="203"/>
    </row>
    <row r="574" spans="1:24" s="307" customFormat="1" ht="16.5" customHeight="1" x14ac:dyDescent="0.2">
      <c r="A574" s="746" t="s">
        <v>675</v>
      </c>
      <c r="B574" s="306" t="s">
        <v>7</v>
      </c>
      <c r="C574" s="354" t="s">
        <v>611</v>
      </c>
      <c r="D574" s="354" t="s">
        <v>605</v>
      </c>
      <c r="E574" s="599" t="s">
        <v>847</v>
      </c>
      <c r="F574" s="450"/>
      <c r="G574" s="591">
        <f>G575</f>
        <v>190.75087000000002</v>
      </c>
      <c r="H574" s="591">
        <f>H575</f>
        <v>179.4</v>
      </c>
      <c r="I574" s="591">
        <f>I575</f>
        <v>190.75087000000002</v>
      </c>
      <c r="J574" s="591">
        <f>J575</f>
        <v>179.4</v>
      </c>
      <c r="K574" s="591">
        <f t="shared" si="192"/>
        <v>0</v>
      </c>
      <c r="L574" s="591">
        <f t="shared" si="193"/>
        <v>0</v>
      </c>
      <c r="M574" s="217">
        <f t="shared" si="180"/>
        <v>0</v>
      </c>
      <c r="N574" s="324">
        <f>N575</f>
        <v>0</v>
      </c>
      <c r="R574" s="591">
        <f>R575</f>
        <v>191.732</v>
      </c>
      <c r="S574" s="591">
        <f>S575</f>
        <v>180.2278</v>
      </c>
      <c r="T574" s="309">
        <f t="shared" si="191"/>
        <v>0</v>
      </c>
      <c r="U574" s="498">
        <f>U575</f>
        <v>0</v>
      </c>
      <c r="V574" s="498">
        <f>V575</f>
        <v>0</v>
      </c>
      <c r="W574" s="310">
        <f t="shared" si="181"/>
        <v>0</v>
      </c>
      <c r="X574" s="310">
        <f t="shared" si="182"/>
        <v>0</v>
      </c>
    </row>
    <row r="575" spans="1:24" ht="15" customHeight="1" x14ac:dyDescent="0.2">
      <c r="A575" s="739" t="s">
        <v>125</v>
      </c>
      <c r="B575" s="243" t="s">
        <v>7</v>
      </c>
      <c r="C575" s="353" t="s">
        <v>611</v>
      </c>
      <c r="D575" s="353" t="s">
        <v>605</v>
      </c>
      <c r="E575" s="386" t="s">
        <v>847</v>
      </c>
      <c r="F575" s="369">
        <v>612</v>
      </c>
      <c r="G575" s="288">
        <v>190.75087000000002</v>
      </c>
      <c r="H575" s="654">
        <v>179.4</v>
      </c>
      <c r="I575" s="288">
        <v>190.75087000000002</v>
      </c>
      <c r="J575" s="654">
        <v>179.4</v>
      </c>
      <c r="K575" s="43">
        <f t="shared" si="192"/>
        <v>0</v>
      </c>
      <c r="L575" s="43">
        <f t="shared" si="193"/>
        <v>0</v>
      </c>
      <c r="M575" s="217">
        <f t="shared" si="180"/>
        <v>0</v>
      </c>
      <c r="N575" s="177">
        <v>0</v>
      </c>
      <c r="R575" s="288">
        <v>191.732</v>
      </c>
      <c r="S575" s="288">
        <v>180.2278</v>
      </c>
      <c r="T575" s="217">
        <f t="shared" si="191"/>
        <v>0</v>
      </c>
      <c r="U575" s="288">
        <v>0</v>
      </c>
      <c r="V575" s="288"/>
      <c r="W575" s="203">
        <f t="shared" si="181"/>
        <v>0</v>
      </c>
      <c r="X575" s="203">
        <f t="shared" si="182"/>
        <v>0</v>
      </c>
    </row>
    <row r="576" spans="1:24" s="323" customFormat="1" ht="15" x14ac:dyDescent="0.2">
      <c r="A576" s="746" t="s">
        <v>1383</v>
      </c>
      <c r="B576" s="306" t="s">
        <v>7</v>
      </c>
      <c r="C576" s="354" t="s">
        <v>611</v>
      </c>
      <c r="D576" s="354" t="s">
        <v>605</v>
      </c>
      <c r="E576" s="599" t="s">
        <v>1531</v>
      </c>
      <c r="F576" s="450"/>
      <c r="G576" s="591">
        <f>G577</f>
        <v>3553.498</v>
      </c>
      <c r="H576" s="591">
        <f>H577</f>
        <v>0</v>
      </c>
      <c r="I576" s="591">
        <f>I577</f>
        <v>3553.498</v>
      </c>
      <c r="J576" s="591">
        <f>J577</f>
        <v>0</v>
      </c>
      <c r="K576" s="591">
        <f t="shared" si="192"/>
        <v>0</v>
      </c>
      <c r="L576" s="591">
        <f t="shared" si="193"/>
        <v>0</v>
      </c>
      <c r="M576" s="217">
        <f t="shared" si="180"/>
        <v>0</v>
      </c>
      <c r="N576" s="292">
        <f>N577</f>
        <v>9.1999999999999993</v>
      </c>
      <c r="R576" s="591">
        <f>R577</f>
        <v>239.8</v>
      </c>
      <c r="S576" s="591">
        <f>S577</f>
        <v>0</v>
      </c>
      <c r="T576" s="309">
        <f t="shared" si="191"/>
        <v>0</v>
      </c>
      <c r="U576" s="498">
        <f>U577</f>
        <v>0</v>
      </c>
      <c r="V576" s="498">
        <f>V577</f>
        <v>0</v>
      </c>
      <c r="W576" s="310">
        <f t="shared" si="181"/>
        <v>0</v>
      </c>
      <c r="X576" s="310">
        <f t="shared" si="182"/>
        <v>0</v>
      </c>
    </row>
    <row r="577" spans="1:26" s="176" customFormat="1" ht="25.5" x14ac:dyDescent="0.2">
      <c r="A577" s="739" t="s">
        <v>648</v>
      </c>
      <c r="B577" s="243" t="s">
        <v>7</v>
      </c>
      <c r="C577" s="353" t="s">
        <v>611</v>
      </c>
      <c r="D577" s="353" t="s">
        <v>605</v>
      </c>
      <c r="E577" s="386" t="s">
        <v>1531</v>
      </c>
      <c r="F577" s="369">
        <v>611</v>
      </c>
      <c r="G577" s="288">
        <v>3553.498</v>
      </c>
      <c r="H577" s="288"/>
      <c r="I577" s="288">
        <v>3553.498</v>
      </c>
      <c r="J577" s="288"/>
      <c r="K577" s="43">
        <f t="shared" si="192"/>
        <v>0</v>
      </c>
      <c r="L577" s="43">
        <f t="shared" si="193"/>
        <v>0</v>
      </c>
      <c r="M577" s="217">
        <f t="shared" si="180"/>
        <v>0</v>
      </c>
      <c r="N577" s="43">
        <v>9.1999999999999993</v>
      </c>
      <c r="R577" s="288">
        <v>239.8</v>
      </c>
      <c r="S577" s="288"/>
      <c r="T577" s="217">
        <f t="shared" si="191"/>
        <v>0</v>
      </c>
      <c r="U577" s="288"/>
      <c r="V577" s="288"/>
      <c r="W577" s="203">
        <f t="shared" si="181"/>
        <v>0</v>
      </c>
      <c r="X577" s="203">
        <f t="shared" si="182"/>
        <v>0</v>
      </c>
    </row>
    <row r="578" spans="1:26" s="323" customFormat="1" ht="17.25" hidden="1" customHeight="1" x14ac:dyDescent="0.2">
      <c r="A578" s="451" t="s">
        <v>1104</v>
      </c>
      <c r="B578" s="306" t="s">
        <v>7</v>
      </c>
      <c r="C578" s="354" t="s">
        <v>611</v>
      </c>
      <c r="D578" s="354" t="s">
        <v>605</v>
      </c>
      <c r="E578" s="450" t="s">
        <v>1134</v>
      </c>
      <c r="F578" s="450"/>
      <c r="G578" s="498">
        <f>G579</f>
        <v>0</v>
      </c>
      <c r="H578" s="498">
        <f>H579</f>
        <v>0</v>
      </c>
      <c r="I578" s="591">
        <f>I579</f>
        <v>0</v>
      </c>
      <c r="J578" s="591">
        <f>J579</f>
        <v>0</v>
      </c>
      <c r="K578" s="591">
        <f t="shared" si="192"/>
        <v>0</v>
      </c>
      <c r="L578" s="591">
        <f t="shared" si="193"/>
        <v>0</v>
      </c>
      <c r="M578" s="217">
        <f t="shared" si="180"/>
        <v>0</v>
      </c>
      <c r="N578" s="312">
        <f>N579</f>
        <v>36</v>
      </c>
      <c r="R578" s="591">
        <f>R579</f>
        <v>0</v>
      </c>
      <c r="S578" s="591">
        <f>S579</f>
        <v>0</v>
      </c>
      <c r="T578" s="309">
        <f t="shared" si="191"/>
        <v>0</v>
      </c>
      <c r="U578" s="498">
        <f>U579</f>
        <v>58.542000000000002</v>
      </c>
      <c r="V578" s="498">
        <f>V579</f>
        <v>0</v>
      </c>
      <c r="W578" s="310">
        <f t="shared" si="181"/>
        <v>0</v>
      </c>
      <c r="X578" s="310">
        <f t="shared" si="182"/>
        <v>0</v>
      </c>
    </row>
    <row r="579" spans="1:26" s="179" customFormat="1" ht="12" hidden="1" customHeight="1" x14ac:dyDescent="0.2">
      <c r="A579" s="124" t="s">
        <v>125</v>
      </c>
      <c r="B579" s="243" t="s">
        <v>7</v>
      </c>
      <c r="C579" s="353" t="s">
        <v>611</v>
      </c>
      <c r="D579" s="353" t="s">
        <v>605</v>
      </c>
      <c r="E579" s="369" t="s">
        <v>1134</v>
      </c>
      <c r="F579" s="369" t="s">
        <v>123</v>
      </c>
      <c r="G579" s="288"/>
      <c r="H579" s="288"/>
      <c r="I579" s="288"/>
      <c r="J579" s="288"/>
      <c r="K579" s="43">
        <f t="shared" si="192"/>
        <v>0</v>
      </c>
      <c r="L579" s="43">
        <f t="shared" si="193"/>
        <v>0</v>
      </c>
      <c r="M579" s="217">
        <f t="shared" si="180"/>
        <v>0</v>
      </c>
      <c r="N579" s="130">
        <v>36</v>
      </c>
      <c r="R579" s="288"/>
      <c r="S579" s="288"/>
      <c r="T579" s="217">
        <f t="shared" si="191"/>
        <v>0</v>
      </c>
      <c r="U579" s="288">
        <v>58.542000000000002</v>
      </c>
      <c r="V579" s="288">
        <v>0</v>
      </c>
      <c r="W579" s="203">
        <f t="shared" si="181"/>
        <v>0</v>
      </c>
      <c r="X579" s="203">
        <f t="shared" si="182"/>
        <v>0</v>
      </c>
    </row>
    <row r="580" spans="1:26" s="323" customFormat="1" ht="16.5" customHeight="1" x14ac:dyDescent="0.2">
      <c r="A580" s="746" t="s">
        <v>239</v>
      </c>
      <c r="B580" s="306" t="s">
        <v>7</v>
      </c>
      <c r="C580" s="354" t="s">
        <v>611</v>
      </c>
      <c r="D580" s="354" t="s">
        <v>605</v>
      </c>
      <c r="E580" s="450" t="s">
        <v>1064</v>
      </c>
      <c r="F580" s="450"/>
      <c r="G580" s="591">
        <f>G581</f>
        <v>10535.98264</v>
      </c>
      <c r="H580" s="591">
        <f>H581</f>
        <v>0</v>
      </c>
      <c r="I580" s="591">
        <f>I581</f>
        <v>11576.968290000001</v>
      </c>
      <c r="J580" s="591">
        <f>J581</f>
        <v>0</v>
      </c>
      <c r="K580" s="591">
        <f t="shared" si="192"/>
        <v>1040.9856500000005</v>
      </c>
      <c r="L580" s="591">
        <f t="shared" si="193"/>
        <v>0</v>
      </c>
      <c r="M580" s="217">
        <f t="shared" si="180"/>
        <v>0</v>
      </c>
      <c r="N580" s="292">
        <f>N581</f>
        <v>1119.55</v>
      </c>
      <c r="R580" s="591">
        <f>R581</f>
        <v>6270.4520000000002</v>
      </c>
      <c r="S580" s="591">
        <f>S581</f>
        <v>0</v>
      </c>
      <c r="T580" s="309">
        <f t="shared" si="191"/>
        <v>1040.9856500000005</v>
      </c>
      <c r="U580" s="498">
        <f>U581</f>
        <v>6270.4523300000001</v>
      </c>
      <c r="V580" s="498">
        <f>V581</f>
        <v>0</v>
      </c>
      <c r="W580" s="310">
        <f t="shared" si="181"/>
        <v>-1040.9856500000005</v>
      </c>
      <c r="X580" s="310">
        <f t="shared" si="182"/>
        <v>0</v>
      </c>
    </row>
    <row r="581" spans="1:26" s="176" customFormat="1" ht="25.5" x14ac:dyDescent="0.2">
      <c r="A581" s="739" t="s">
        <v>648</v>
      </c>
      <c r="B581" s="243" t="s">
        <v>7</v>
      </c>
      <c r="C581" s="353" t="s">
        <v>611</v>
      </c>
      <c r="D581" s="353" t="s">
        <v>605</v>
      </c>
      <c r="E581" s="369" t="s">
        <v>1064</v>
      </c>
      <c r="F581" s="369" t="s">
        <v>127</v>
      </c>
      <c r="G581" s="288">
        <v>10535.98264</v>
      </c>
      <c r="H581" s="288"/>
      <c r="I581" s="288">
        <v>11576.968290000001</v>
      </c>
      <c r="J581" s="288"/>
      <c r="K581" s="43">
        <f t="shared" si="192"/>
        <v>1040.9856500000005</v>
      </c>
      <c r="L581" s="43">
        <f t="shared" si="193"/>
        <v>0</v>
      </c>
      <c r="M581" s="217">
        <f t="shared" si="180"/>
        <v>0</v>
      </c>
      <c r="N581" s="43">
        <v>1119.55</v>
      </c>
      <c r="P581" s="189">
        <f>G581+G602+G751+G601</f>
        <v>37612.800000000003</v>
      </c>
      <c r="Q581" s="189"/>
      <c r="R581" s="288">
        <v>6270.4520000000002</v>
      </c>
      <c r="S581" s="288"/>
      <c r="T581" s="189">
        <f>I581+I602+I751</f>
        <v>32839.344259999998</v>
      </c>
      <c r="U581" s="288">
        <v>6270.4523300000001</v>
      </c>
      <c r="V581" s="288">
        <v>0</v>
      </c>
      <c r="W581" s="203">
        <f t="shared" si="181"/>
        <v>-1040.9856500000005</v>
      </c>
      <c r="X581" s="203">
        <f t="shared" si="182"/>
        <v>0</v>
      </c>
      <c r="Y581" s="176" t="e">
        <f>X581/X588*100</f>
        <v>#DIV/0!</v>
      </c>
      <c r="Z581" s="176" t="e">
        <f>Y581*Z588/100</f>
        <v>#DIV/0!</v>
      </c>
    </row>
    <row r="582" spans="1:26" s="323" customFormat="1" ht="15.75" hidden="1" customHeight="1" x14ac:dyDescent="0.2">
      <c r="A582" s="451" t="s">
        <v>820</v>
      </c>
      <c r="B582" s="306" t="s">
        <v>7</v>
      </c>
      <c r="C582" s="354" t="s">
        <v>611</v>
      </c>
      <c r="D582" s="354" t="s">
        <v>605</v>
      </c>
      <c r="E582" s="450" t="s">
        <v>821</v>
      </c>
      <c r="F582" s="450"/>
      <c r="G582" s="498">
        <f>G583</f>
        <v>0</v>
      </c>
      <c r="H582" s="498">
        <f>H583</f>
        <v>0</v>
      </c>
      <c r="I582" s="591">
        <f>I583</f>
        <v>0</v>
      </c>
      <c r="J582" s="591">
        <f>J583</f>
        <v>0</v>
      </c>
      <c r="K582" s="591">
        <f t="shared" si="192"/>
        <v>0</v>
      </c>
      <c r="L582" s="591">
        <f t="shared" si="193"/>
        <v>0</v>
      </c>
      <c r="M582" s="217">
        <f t="shared" si="180"/>
        <v>0</v>
      </c>
      <c r="N582" s="292"/>
      <c r="R582" s="591">
        <f>R583</f>
        <v>0</v>
      </c>
      <c r="S582" s="591">
        <f>S583</f>
        <v>0</v>
      </c>
      <c r="T582" s="309">
        <f t="shared" ref="T582:T587" si="194">I582-G582</f>
        <v>0</v>
      </c>
      <c r="U582" s="498">
        <f>U583</f>
        <v>0</v>
      </c>
      <c r="V582" s="498">
        <f>V583</f>
        <v>0</v>
      </c>
      <c r="W582" s="310">
        <f t="shared" si="181"/>
        <v>0</v>
      </c>
      <c r="X582" s="310">
        <f t="shared" si="182"/>
        <v>0</v>
      </c>
    </row>
    <row r="583" spans="1:26" s="176" customFormat="1" ht="41.25" hidden="1" customHeight="1" x14ac:dyDescent="0.2">
      <c r="A583" s="124" t="s">
        <v>648</v>
      </c>
      <c r="B583" s="243" t="s">
        <v>7</v>
      </c>
      <c r="C583" s="353" t="s">
        <v>611</v>
      </c>
      <c r="D583" s="353" t="s">
        <v>605</v>
      </c>
      <c r="E583" s="369" t="s">
        <v>821</v>
      </c>
      <c r="F583" s="369" t="s">
        <v>127</v>
      </c>
      <c r="G583" s="288">
        <v>0</v>
      </c>
      <c r="H583" s="288"/>
      <c r="I583" s="288">
        <v>0</v>
      </c>
      <c r="J583" s="288"/>
      <c r="K583" s="43">
        <f t="shared" si="192"/>
        <v>0</v>
      </c>
      <c r="L583" s="43">
        <f t="shared" si="193"/>
        <v>0</v>
      </c>
      <c r="M583" s="217">
        <f t="shared" si="180"/>
        <v>0</v>
      </c>
      <c r="N583" s="43"/>
      <c r="R583" s="288">
        <v>0</v>
      </c>
      <c r="S583" s="288"/>
      <c r="T583" s="217">
        <f t="shared" si="194"/>
        <v>0</v>
      </c>
      <c r="U583" s="288">
        <v>0</v>
      </c>
      <c r="V583" s="288"/>
      <c r="W583" s="203">
        <f t="shared" si="181"/>
        <v>0</v>
      </c>
      <c r="X583" s="203">
        <f t="shared" si="182"/>
        <v>0</v>
      </c>
    </row>
    <row r="584" spans="1:26" s="323" customFormat="1" ht="12" hidden="1" customHeight="1" x14ac:dyDescent="0.2">
      <c r="A584" s="451" t="s">
        <v>675</v>
      </c>
      <c r="B584" s="306" t="s">
        <v>7</v>
      </c>
      <c r="C584" s="354" t="s">
        <v>611</v>
      </c>
      <c r="D584" s="354" t="s">
        <v>605</v>
      </c>
      <c r="E584" s="450" t="s">
        <v>750</v>
      </c>
      <c r="F584" s="450"/>
      <c r="G584" s="498">
        <f>G585</f>
        <v>0</v>
      </c>
      <c r="H584" s="498">
        <f>H585</f>
        <v>0</v>
      </c>
      <c r="I584" s="591">
        <f>I585</f>
        <v>0</v>
      </c>
      <c r="J584" s="591">
        <f>J585</f>
        <v>0</v>
      </c>
      <c r="K584" s="591">
        <f t="shared" si="192"/>
        <v>0</v>
      </c>
      <c r="L584" s="591">
        <f t="shared" si="193"/>
        <v>0</v>
      </c>
      <c r="M584" s="217">
        <f t="shared" si="180"/>
        <v>0</v>
      </c>
      <c r="N584" s="292"/>
      <c r="R584" s="591">
        <f>R585</f>
        <v>0</v>
      </c>
      <c r="S584" s="591">
        <f>S585</f>
        <v>0</v>
      </c>
      <c r="T584" s="309">
        <f t="shared" si="194"/>
        <v>0</v>
      </c>
      <c r="U584" s="498">
        <f>U585</f>
        <v>0</v>
      </c>
      <c r="V584" s="498">
        <f>V585</f>
        <v>0</v>
      </c>
      <c r="W584" s="310">
        <f t="shared" si="181"/>
        <v>0</v>
      </c>
      <c r="X584" s="310">
        <f t="shared" si="182"/>
        <v>0</v>
      </c>
    </row>
    <row r="585" spans="1:26" s="176" customFormat="1" ht="12" hidden="1" customHeight="1" x14ac:dyDescent="0.2">
      <c r="A585" s="124" t="s">
        <v>125</v>
      </c>
      <c r="B585" s="243" t="s">
        <v>7</v>
      </c>
      <c r="C585" s="353" t="s">
        <v>611</v>
      </c>
      <c r="D585" s="353" t="s">
        <v>605</v>
      </c>
      <c r="E585" s="369" t="s">
        <v>750</v>
      </c>
      <c r="F585" s="369" t="s">
        <v>123</v>
      </c>
      <c r="G585" s="288"/>
      <c r="H585" s="288"/>
      <c r="I585" s="288"/>
      <c r="J585" s="288"/>
      <c r="K585" s="43">
        <f t="shared" si="192"/>
        <v>0</v>
      </c>
      <c r="L585" s="43">
        <f t="shared" si="193"/>
        <v>0</v>
      </c>
      <c r="M585" s="217">
        <f t="shared" si="180"/>
        <v>0</v>
      </c>
      <c r="N585" s="43"/>
      <c r="R585" s="288"/>
      <c r="S585" s="288"/>
      <c r="T585" s="217">
        <f t="shared" si="194"/>
        <v>0</v>
      </c>
      <c r="U585" s="288"/>
      <c r="V585" s="288"/>
      <c r="W585" s="203">
        <f t="shared" si="181"/>
        <v>0</v>
      </c>
      <c r="X585" s="203">
        <f t="shared" si="182"/>
        <v>0</v>
      </c>
    </row>
    <row r="586" spans="1:26" s="323" customFormat="1" ht="12" hidden="1" customHeight="1" x14ac:dyDescent="0.2">
      <c r="A586" s="451" t="s">
        <v>675</v>
      </c>
      <c r="B586" s="306" t="s">
        <v>7</v>
      </c>
      <c r="C586" s="354" t="s">
        <v>611</v>
      </c>
      <c r="D586" s="354" t="s">
        <v>605</v>
      </c>
      <c r="E586" s="450" t="s">
        <v>847</v>
      </c>
      <c r="F586" s="450"/>
      <c r="G586" s="498">
        <f>G587</f>
        <v>0</v>
      </c>
      <c r="H586" s="498">
        <f>H587</f>
        <v>0</v>
      </c>
      <c r="I586" s="591">
        <f>I587</f>
        <v>0</v>
      </c>
      <c r="J586" s="591">
        <f>J587</f>
        <v>0</v>
      </c>
      <c r="K586" s="591">
        <f t="shared" si="192"/>
        <v>0</v>
      </c>
      <c r="L586" s="591">
        <f t="shared" si="193"/>
        <v>0</v>
      </c>
      <c r="M586" s="217">
        <f t="shared" si="180"/>
        <v>0</v>
      </c>
      <c r="N586" s="292"/>
      <c r="R586" s="591">
        <f>R587</f>
        <v>0</v>
      </c>
      <c r="S586" s="591">
        <f>S587</f>
        <v>0</v>
      </c>
      <c r="T586" s="309">
        <f t="shared" si="194"/>
        <v>0</v>
      </c>
      <c r="U586" s="498">
        <f>U587</f>
        <v>0</v>
      </c>
      <c r="V586" s="498">
        <f>V587</f>
        <v>0</v>
      </c>
      <c r="W586" s="310">
        <f t="shared" si="181"/>
        <v>0</v>
      </c>
      <c r="X586" s="310">
        <f t="shared" si="182"/>
        <v>0</v>
      </c>
      <c r="Y586" s="323" t="e">
        <f>X586/X588*100</f>
        <v>#DIV/0!</v>
      </c>
      <c r="Z586" s="323" t="e">
        <f>Y586*Z588/100</f>
        <v>#DIV/0!</v>
      </c>
    </row>
    <row r="587" spans="1:26" s="176" customFormat="1" ht="12" hidden="1" customHeight="1" x14ac:dyDescent="0.2">
      <c r="A587" s="124" t="s">
        <v>125</v>
      </c>
      <c r="B587" s="243" t="s">
        <v>7</v>
      </c>
      <c r="C587" s="353" t="s">
        <v>611</v>
      </c>
      <c r="D587" s="353" t="s">
        <v>605</v>
      </c>
      <c r="E587" s="369" t="s">
        <v>847</v>
      </c>
      <c r="F587" s="369" t="s">
        <v>123</v>
      </c>
      <c r="G587" s="288"/>
      <c r="H587" s="288"/>
      <c r="I587" s="288"/>
      <c r="J587" s="288"/>
      <c r="K587" s="43">
        <f t="shared" si="192"/>
        <v>0</v>
      </c>
      <c r="L587" s="43">
        <f t="shared" si="193"/>
        <v>0</v>
      </c>
      <c r="M587" s="217">
        <f t="shared" si="180"/>
        <v>0</v>
      </c>
      <c r="N587" s="43"/>
      <c r="R587" s="288"/>
      <c r="S587" s="288"/>
      <c r="T587" s="217">
        <f t="shared" si="194"/>
        <v>0</v>
      </c>
      <c r="U587" s="288"/>
      <c r="V587" s="288"/>
      <c r="W587" s="203">
        <f t="shared" si="181"/>
        <v>0</v>
      </c>
      <c r="X587" s="203">
        <f t="shared" si="182"/>
        <v>0</v>
      </c>
      <c r="Y587" s="176" t="e">
        <f>X587/X588*100</f>
        <v>#DIV/0!</v>
      </c>
      <c r="Z587" s="176" t="e">
        <f>Y587*Z588/100</f>
        <v>#DIV/0!</v>
      </c>
    </row>
    <row r="588" spans="1:26" s="323" customFormat="1" ht="15" x14ac:dyDescent="0.2">
      <c r="A588" s="746" t="s">
        <v>1050</v>
      </c>
      <c r="B588" s="306" t="s">
        <v>7</v>
      </c>
      <c r="C588" s="354" t="s">
        <v>611</v>
      </c>
      <c r="D588" s="354" t="s">
        <v>605</v>
      </c>
      <c r="E588" s="719" t="s">
        <v>2011</v>
      </c>
      <c r="F588" s="450"/>
      <c r="G588" s="591">
        <f>G589</f>
        <v>0</v>
      </c>
      <c r="H588" s="591">
        <f>H589</f>
        <v>0</v>
      </c>
      <c r="I588" s="591">
        <f>I589</f>
        <v>3576.1119399999998</v>
      </c>
      <c r="J588" s="591">
        <f>J589</f>
        <v>0</v>
      </c>
      <c r="K588" s="591">
        <f t="shared" si="192"/>
        <v>3576.1119399999998</v>
      </c>
      <c r="L588" s="591">
        <f t="shared" si="193"/>
        <v>0</v>
      </c>
      <c r="M588" s="217">
        <f t="shared" si="180"/>
        <v>0</v>
      </c>
      <c r="N588" s="292"/>
      <c r="R588" s="591">
        <f>R589</f>
        <v>4058.5169999999998</v>
      </c>
      <c r="S588" s="591">
        <f>S589</f>
        <v>0</v>
      </c>
      <c r="T588" s="309"/>
      <c r="U588" s="498">
        <f>U589</f>
        <v>1980.662</v>
      </c>
      <c r="V588" s="498">
        <f>V589</f>
        <v>0</v>
      </c>
      <c r="W588" s="310">
        <f t="shared" si="181"/>
        <v>-3576.1119399999998</v>
      </c>
      <c r="X588" s="310">
        <f t="shared" si="182"/>
        <v>0</v>
      </c>
      <c r="Z588" s="323">
        <v>15086.2</v>
      </c>
    </row>
    <row r="589" spans="1:26" s="176" customFormat="1" ht="25.5" x14ac:dyDescent="0.2">
      <c r="A589" s="739" t="s">
        <v>648</v>
      </c>
      <c r="B589" s="243" t="s">
        <v>7</v>
      </c>
      <c r="C589" s="353" t="s">
        <v>611</v>
      </c>
      <c r="D589" s="353" t="s">
        <v>605</v>
      </c>
      <c r="E589" s="386" t="s">
        <v>2011</v>
      </c>
      <c r="F589" s="369" t="s">
        <v>127</v>
      </c>
      <c r="G589" s="288"/>
      <c r="H589" s="288"/>
      <c r="I589" s="288">
        <v>3576.1119399999998</v>
      </c>
      <c r="J589" s="288"/>
      <c r="K589" s="43">
        <f t="shared" si="192"/>
        <v>3576.1119399999998</v>
      </c>
      <c r="L589" s="43">
        <f t="shared" si="193"/>
        <v>0</v>
      </c>
      <c r="M589" s="217">
        <f t="shared" ref="M589:M706" si="195">I589-G589-K589</f>
        <v>0</v>
      </c>
      <c r="N589" s="43"/>
      <c r="R589" s="288">
        <v>4058.5169999999998</v>
      </c>
      <c r="S589" s="288"/>
      <c r="T589" s="217"/>
      <c r="U589" s="288">
        <v>1980.662</v>
      </c>
      <c r="V589" s="288"/>
      <c r="W589" s="203">
        <f t="shared" si="181"/>
        <v>-3576.1119399999998</v>
      </c>
      <c r="X589" s="203">
        <f t="shared" si="182"/>
        <v>0</v>
      </c>
    </row>
    <row r="590" spans="1:26" s="323" customFormat="1" ht="17.25" customHeight="1" x14ac:dyDescent="0.2">
      <c r="A590" s="746" t="s">
        <v>325</v>
      </c>
      <c r="B590" s="306" t="s">
        <v>7</v>
      </c>
      <c r="C590" s="354" t="s">
        <v>611</v>
      </c>
      <c r="D590" s="354" t="s">
        <v>605</v>
      </c>
      <c r="E590" s="450" t="s">
        <v>324</v>
      </c>
      <c r="F590" s="450"/>
      <c r="G590" s="591">
        <f>G600+G591+G594+G603+G598+G605+G596</f>
        <v>39559.477360000004</v>
      </c>
      <c r="H590" s="591">
        <f>H600+H591+H594+H603+H598+H605+H596</f>
        <v>0</v>
      </c>
      <c r="I590" s="591">
        <f>I600+I591+I594+I603+I598+I605+I596</f>
        <v>47642.009709999998</v>
      </c>
      <c r="J590" s="591">
        <f>J600+J591+J594+J603+J598+J605+J596</f>
        <v>0</v>
      </c>
      <c r="K590" s="591">
        <f t="shared" si="192"/>
        <v>8082.532349999994</v>
      </c>
      <c r="L590" s="591">
        <f t="shared" si="193"/>
        <v>0</v>
      </c>
      <c r="M590" s="217">
        <f t="shared" si="195"/>
        <v>0</v>
      </c>
      <c r="N590" s="292">
        <f>N600+N591+N594</f>
        <v>12067.243999999999</v>
      </c>
      <c r="R590" s="591">
        <f>R600+R591+R594+R603+R598+R605+R596</f>
        <v>31183.80517</v>
      </c>
      <c r="S590" s="591">
        <f>S600+S591+S594+S603+S598+S605+S596</f>
        <v>0</v>
      </c>
      <c r="T590" s="309">
        <f t="shared" ref="T590:T602" si="196">I590-G590</f>
        <v>8082.532349999994</v>
      </c>
      <c r="U590" s="498">
        <f>U600+U591+U594+U603+U598</f>
        <v>24916.208780000001</v>
      </c>
      <c r="V590" s="498">
        <f>V600+V591+V594+V603+V598</f>
        <v>0</v>
      </c>
      <c r="W590" s="310">
        <f t="shared" si="181"/>
        <v>-8082.532349999994</v>
      </c>
      <c r="X590" s="310">
        <f t="shared" si="182"/>
        <v>0</v>
      </c>
    </row>
    <row r="591" spans="1:26" s="307" customFormat="1" ht="15" x14ac:dyDescent="0.2">
      <c r="A591" s="746" t="s">
        <v>600</v>
      </c>
      <c r="B591" s="306" t="s">
        <v>7</v>
      </c>
      <c r="C591" s="354" t="s">
        <v>611</v>
      </c>
      <c r="D591" s="354" t="s">
        <v>605</v>
      </c>
      <c r="E591" s="450" t="s">
        <v>556</v>
      </c>
      <c r="F591" s="450"/>
      <c r="G591" s="591">
        <f>G592+G593</f>
        <v>4507.4593000000004</v>
      </c>
      <c r="H591" s="591">
        <f>H592+H593</f>
        <v>0</v>
      </c>
      <c r="I591" s="591">
        <f>I592+I593</f>
        <v>5307.6337100000001</v>
      </c>
      <c r="J591" s="591">
        <f>J592+J593</f>
        <v>0</v>
      </c>
      <c r="K591" s="591">
        <f t="shared" si="192"/>
        <v>800.17440999999963</v>
      </c>
      <c r="L591" s="591">
        <f t="shared" si="193"/>
        <v>0</v>
      </c>
      <c r="M591" s="217">
        <f t="shared" si="195"/>
        <v>0</v>
      </c>
      <c r="N591" s="292">
        <f>N592</f>
        <v>9134.9</v>
      </c>
      <c r="R591" s="591">
        <f>R592+R593</f>
        <v>5867.5063700000001</v>
      </c>
      <c r="S591" s="591">
        <f>S592+S593</f>
        <v>0</v>
      </c>
      <c r="T591" s="309">
        <f t="shared" si="196"/>
        <v>800.17440999999963</v>
      </c>
      <c r="U591" s="498">
        <f>U592+U593</f>
        <v>6225.7074599999996</v>
      </c>
      <c r="V591" s="498">
        <f>V592+V593</f>
        <v>0</v>
      </c>
      <c r="W591" s="310">
        <f t="shared" si="181"/>
        <v>-800.17440999999963</v>
      </c>
      <c r="X591" s="310">
        <f t="shared" si="182"/>
        <v>0</v>
      </c>
    </row>
    <row r="592" spans="1:26" ht="25.5" x14ac:dyDescent="0.2">
      <c r="A592" s="739" t="s">
        <v>648</v>
      </c>
      <c r="B592" s="243" t="s">
        <v>7</v>
      </c>
      <c r="C592" s="353" t="s">
        <v>611</v>
      </c>
      <c r="D592" s="353" t="s">
        <v>605</v>
      </c>
      <c r="E592" s="369" t="s">
        <v>556</v>
      </c>
      <c r="F592" s="369" t="s">
        <v>127</v>
      </c>
      <c r="G592" s="288">
        <v>4507.4593000000004</v>
      </c>
      <c r="H592" s="288"/>
      <c r="I592" s="288">
        <v>5307.6337100000001</v>
      </c>
      <c r="J592" s="288"/>
      <c r="K592" s="43">
        <f t="shared" si="192"/>
        <v>800.17440999999963</v>
      </c>
      <c r="L592" s="43">
        <f t="shared" si="193"/>
        <v>0</v>
      </c>
      <c r="M592" s="217">
        <f t="shared" si="195"/>
        <v>0</v>
      </c>
      <c r="N592" s="43">
        <f>8859.9+275</f>
        <v>9134.9</v>
      </c>
      <c r="R592" s="288">
        <v>5867.5063700000001</v>
      </c>
      <c r="S592" s="288"/>
      <c r="T592" s="217">
        <f t="shared" si="196"/>
        <v>800.17440999999963</v>
      </c>
      <c r="U592" s="288">
        <v>6225.7074599999996</v>
      </c>
      <c r="V592" s="288">
        <v>0</v>
      </c>
      <c r="W592" s="203">
        <f>G592-I592</f>
        <v>-800.17440999999963</v>
      </c>
      <c r="X592" s="203">
        <f>K592+W592</f>
        <v>0</v>
      </c>
    </row>
    <row r="593" spans="1:24" ht="16.5" hidden="1" customHeight="1" x14ac:dyDescent="0.2">
      <c r="A593" s="124" t="s">
        <v>125</v>
      </c>
      <c r="B593" s="243" t="s">
        <v>7</v>
      </c>
      <c r="C593" s="353" t="s">
        <v>611</v>
      </c>
      <c r="D593" s="353" t="s">
        <v>605</v>
      </c>
      <c r="E593" s="369" t="s">
        <v>556</v>
      </c>
      <c r="F593" s="369" t="s">
        <v>123</v>
      </c>
      <c r="G593" s="288"/>
      <c r="H593" s="288"/>
      <c r="I593" s="288"/>
      <c r="J593" s="288"/>
      <c r="K593" s="43">
        <f t="shared" si="192"/>
        <v>0</v>
      </c>
      <c r="L593" s="43">
        <f t="shared" si="193"/>
        <v>0</v>
      </c>
      <c r="M593" s="217">
        <f t="shared" si="195"/>
        <v>0</v>
      </c>
      <c r="N593" s="43"/>
      <c r="R593" s="288"/>
      <c r="S593" s="288"/>
      <c r="T593" s="217">
        <f t="shared" si="196"/>
        <v>0</v>
      </c>
      <c r="U593" s="288"/>
      <c r="V593" s="288"/>
      <c r="W593" s="203">
        <f>G593-I593</f>
        <v>0</v>
      </c>
      <c r="X593" s="203">
        <f>K593+W593</f>
        <v>0</v>
      </c>
    </row>
    <row r="594" spans="1:24" s="307" customFormat="1" ht="25.5" x14ac:dyDescent="0.2">
      <c r="A594" s="746" t="s">
        <v>235</v>
      </c>
      <c r="B594" s="306" t="s">
        <v>7</v>
      </c>
      <c r="C594" s="354" t="s">
        <v>611</v>
      </c>
      <c r="D594" s="354" t="s">
        <v>605</v>
      </c>
      <c r="E594" s="450" t="s">
        <v>557</v>
      </c>
      <c r="F594" s="450"/>
      <c r="G594" s="591">
        <f>G595</f>
        <v>826.42570000000001</v>
      </c>
      <c r="H594" s="591">
        <f>H595</f>
        <v>0</v>
      </c>
      <c r="I594" s="591">
        <f>I595</f>
        <v>826.42570000000001</v>
      </c>
      <c r="J594" s="591">
        <f>J595</f>
        <v>0</v>
      </c>
      <c r="K594" s="591">
        <f t="shared" si="192"/>
        <v>0</v>
      </c>
      <c r="L594" s="591">
        <f t="shared" si="193"/>
        <v>0</v>
      </c>
      <c r="M594" s="217">
        <f t="shared" si="195"/>
        <v>0</v>
      </c>
      <c r="N594" s="324">
        <f>N595</f>
        <v>965.28399999999999</v>
      </c>
      <c r="R594" s="591">
        <f>R595</f>
        <v>918.78700000000003</v>
      </c>
      <c r="S594" s="591">
        <f>S595</f>
        <v>0</v>
      </c>
      <c r="T594" s="309">
        <f t="shared" si="196"/>
        <v>0</v>
      </c>
      <c r="U594" s="498">
        <f>U595</f>
        <v>918.78700000000003</v>
      </c>
      <c r="V594" s="498">
        <f>V595</f>
        <v>0</v>
      </c>
      <c r="W594" s="310">
        <f>G594-I594</f>
        <v>0</v>
      </c>
      <c r="X594" s="310">
        <f>K594+W594</f>
        <v>0</v>
      </c>
    </row>
    <row r="595" spans="1:24" ht="25.5" x14ac:dyDescent="0.2">
      <c r="A595" s="739" t="s">
        <v>648</v>
      </c>
      <c r="B595" s="243" t="s">
        <v>7</v>
      </c>
      <c r="C595" s="353" t="s">
        <v>611</v>
      </c>
      <c r="D595" s="353" t="s">
        <v>605</v>
      </c>
      <c r="E595" s="369" t="s">
        <v>557</v>
      </c>
      <c r="F595" s="369" t="s">
        <v>127</v>
      </c>
      <c r="G595" s="145">
        <f>761.6+64.8257</f>
        <v>826.42570000000001</v>
      </c>
      <c r="H595" s="288"/>
      <c r="I595" s="145">
        <f>761.6+64.8257</f>
        <v>826.42570000000001</v>
      </c>
      <c r="J595" s="288"/>
      <c r="K595" s="43">
        <f t="shared" si="192"/>
        <v>0</v>
      </c>
      <c r="L595" s="43">
        <f t="shared" si="193"/>
        <v>0</v>
      </c>
      <c r="M595" s="217">
        <f t="shared" si="195"/>
        <v>0</v>
      </c>
      <c r="N595" s="177">
        <f>984.6+125.5+28.9-173.716</f>
        <v>965.28399999999999</v>
      </c>
      <c r="R595" s="145">
        <v>918.78700000000003</v>
      </c>
      <c r="S595" s="288"/>
      <c r="T595" s="217">
        <f t="shared" si="196"/>
        <v>0</v>
      </c>
      <c r="U595" s="145">
        <v>918.78700000000003</v>
      </c>
      <c r="V595" s="288">
        <v>0</v>
      </c>
      <c r="W595" s="203">
        <f>G595-I595</f>
        <v>0</v>
      </c>
      <c r="X595" s="203">
        <f>K595+W595</f>
        <v>0</v>
      </c>
    </row>
    <row r="596" spans="1:24" ht="15" hidden="1" x14ac:dyDescent="0.2">
      <c r="A596" s="598" t="s">
        <v>1488</v>
      </c>
      <c r="B596" s="306" t="s">
        <v>7</v>
      </c>
      <c r="C596" s="354" t="s">
        <v>611</v>
      </c>
      <c r="D596" s="354" t="s">
        <v>605</v>
      </c>
      <c r="E596" s="582">
        <v>7310382940</v>
      </c>
      <c r="F596" s="582"/>
      <c r="G596" s="591">
        <f>G597</f>
        <v>0</v>
      </c>
      <c r="H596" s="591">
        <f>H597</f>
        <v>0</v>
      </c>
      <c r="I596" s="591">
        <f>I597</f>
        <v>0</v>
      </c>
      <c r="J596" s="591">
        <f>J597</f>
        <v>0</v>
      </c>
      <c r="K596" s="591">
        <f t="shared" si="192"/>
        <v>0</v>
      </c>
      <c r="L596" s="591">
        <f t="shared" si="193"/>
        <v>0</v>
      </c>
      <c r="M596" s="217"/>
      <c r="N596" s="177"/>
      <c r="R596" s="591">
        <f>R597</f>
        <v>148.98779999999999</v>
      </c>
      <c r="S596" s="591">
        <f>S597</f>
        <v>0</v>
      </c>
      <c r="T596" s="217"/>
      <c r="U596" s="145"/>
      <c r="V596" s="288"/>
      <c r="W596" s="203"/>
      <c r="X596" s="203"/>
    </row>
    <row r="597" spans="1:24" ht="25.5" hidden="1" x14ac:dyDescent="0.2">
      <c r="A597" s="124" t="s">
        <v>648</v>
      </c>
      <c r="B597" s="243" t="s">
        <v>7</v>
      </c>
      <c r="C597" s="353" t="s">
        <v>611</v>
      </c>
      <c r="D597" s="353" t="s">
        <v>605</v>
      </c>
      <c r="E597" s="369">
        <v>7310382940</v>
      </c>
      <c r="F597" s="369" t="s">
        <v>127</v>
      </c>
      <c r="G597" s="288"/>
      <c r="H597" s="288"/>
      <c r="I597" s="288"/>
      <c r="J597" s="288"/>
      <c r="K597" s="43">
        <f t="shared" si="192"/>
        <v>0</v>
      </c>
      <c r="L597" s="43">
        <f t="shared" si="193"/>
        <v>0</v>
      </c>
      <c r="M597" s="217"/>
      <c r="N597" s="177"/>
      <c r="R597" s="288">
        <v>148.98779999999999</v>
      </c>
      <c r="S597" s="288"/>
      <c r="T597" s="217"/>
      <c r="U597" s="145"/>
      <c r="V597" s="288"/>
      <c r="W597" s="203"/>
      <c r="X597" s="203"/>
    </row>
    <row r="598" spans="1:24" ht="25.5" x14ac:dyDescent="0.2">
      <c r="A598" s="746" t="s">
        <v>1247</v>
      </c>
      <c r="B598" s="306" t="s">
        <v>7</v>
      </c>
      <c r="C598" s="354" t="s">
        <v>611</v>
      </c>
      <c r="D598" s="354" t="s">
        <v>605</v>
      </c>
      <c r="E598" s="450" t="s">
        <v>1115</v>
      </c>
      <c r="F598" s="450"/>
      <c r="G598" s="591">
        <f>G599</f>
        <v>5642.7749999999996</v>
      </c>
      <c r="H598" s="591">
        <f>H599</f>
        <v>0</v>
      </c>
      <c r="I598" s="591">
        <f>I599</f>
        <v>5642.7749999999996</v>
      </c>
      <c r="J598" s="591">
        <f>J599</f>
        <v>0</v>
      </c>
      <c r="K598" s="591">
        <f t="shared" si="192"/>
        <v>0</v>
      </c>
      <c r="L598" s="591">
        <f t="shared" si="193"/>
        <v>0</v>
      </c>
      <c r="M598" s="217">
        <f t="shared" si="195"/>
        <v>0</v>
      </c>
      <c r="N598" s="177"/>
      <c r="R598" s="591">
        <f>R599</f>
        <v>100.2</v>
      </c>
      <c r="S598" s="591">
        <f>S599</f>
        <v>0</v>
      </c>
      <c r="T598" s="217"/>
      <c r="U598" s="498">
        <f>U599</f>
        <v>4297.1000000000004</v>
      </c>
      <c r="V598" s="498">
        <f>V599</f>
        <v>0</v>
      </c>
      <c r="W598" s="203"/>
      <c r="X598" s="203"/>
    </row>
    <row r="599" spans="1:24" ht="25.5" x14ac:dyDescent="0.2">
      <c r="A599" s="739" t="s">
        <v>648</v>
      </c>
      <c r="B599" s="243" t="s">
        <v>7</v>
      </c>
      <c r="C599" s="353" t="s">
        <v>611</v>
      </c>
      <c r="D599" s="353" t="s">
        <v>605</v>
      </c>
      <c r="E599" s="369" t="s">
        <v>1115</v>
      </c>
      <c r="F599" s="369" t="s">
        <v>127</v>
      </c>
      <c r="G599" s="288">
        <v>5642.7749999999996</v>
      </c>
      <c r="H599" s="288"/>
      <c r="I599" s="288">
        <v>5642.7749999999996</v>
      </c>
      <c r="J599" s="288"/>
      <c r="K599" s="43">
        <f t="shared" si="192"/>
        <v>0</v>
      </c>
      <c r="L599" s="43">
        <f t="shared" si="193"/>
        <v>0</v>
      </c>
      <c r="M599" s="217">
        <f t="shared" si="195"/>
        <v>0</v>
      </c>
      <c r="N599" s="177"/>
      <c r="P599" s="166" t="e">
        <f>G599+G729+G827+G1025+#REF!</f>
        <v>#REF!</v>
      </c>
      <c r="Q599" s="166"/>
      <c r="R599" s="288">
        <v>100.2</v>
      </c>
      <c r="S599" s="288"/>
      <c r="T599" s="217"/>
      <c r="U599" s="288">
        <f>3398.6-883.3+1681.8+100</f>
        <v>4297.1000000000004</v>
      </c>
      <c r="V599" s="288">
        <v>0</v>
      </c>
      <c r="W599" s="203"/>
      <c r="X599" s="203"/>
    </row>
    <row r="600" spans="1:24" s="323" customFormat="1" ht="15" customHeight="1" x14ac:dyDescent="0.2">
      <c r="A600" s="746" t="s">
        <v>239</v>
      </c>
      <c r="B600" s="306" t="s">
        <v>7</v>
      </c>
      <c r="C600" s="354" t="s">
        <v>611</v>
      </c>
      <c r="D600" s="354" t="s">
        <v>605</v>
      </c>
      <c r="E600" s="450" t="s">
        <v>1063</v>
      </c>
      <c r="F600" s="450"/>
      <c r="G600" s="591">
        <f>G602+G601</f>
        <v>27076.817360000001</v>
      </c>
      <c r="H600" s="591">
        <f>H602</f>
        <v>0</v>
      </c>
      <c r="I600" s="591">
        <f>I602+I601</f>
        <v>29719.363710000001</v>
      </c>
      <c r="J600" s="591">
        <f>J602</f>
        <v>0</v>
      </c>
      <c r="K600" s="591">
        <f t="shared" si="192"/>
        <v>2642.5463500000005</v>
      </c>
      <c r="L600" s="591">
        <f t="shared" si="193"/>
        <v>0</v>
      </c>
      <c r="M600" s="217">
        <f t="shared" si="195"/>
        <v>0</v>
      </c>
      <c r="N600" s="292">
        <f>N602</f>
        <v>1967.06</v>
      </c>
      <c r="R600" s="591">
        <f>R602+R601</f>
        <v>16485.648000000001</v>
      </c>
      <c r="S600" s="591">
        <f>S602</f>
        <v>0</v>
      </c>
      <c r="T600" s="309">
        <f t="shared" si="196"/>
        <v>2642.5463500000005</v>
      </c>
      <c r="U600" s="498">
        <f>U602</f>
        <v>11796.43432</v>
      </c>
      <c r="V600" s="498">
        <f>V602</f>
        <v>0</v>
      </c>
      <c r="W600" s="310">
        <f>G600-I600</f>
        <v>-2642.5463500000005</v>
      </c>
      <c r="X600" s="310">
        <f>K600+W600</f>
        <v>0</v>
      </c>
    </row>
    <row r="601" spans="1:24" s="323" customFormat="1" ht="15" x14ac:dyDescent="0.2">
      <c r="A601" s="739" t="s">
        <v>164</v>
      </c>
      <c r="B601" s="243" t="s">
        <v>7</v>
      </c>
      <c r="C601" s="353" t="s">
        <v>611</v>
      </c>
      <c r="D601" s="353" t="s">
        <v>605</v>
      </c>
      <c r="E601" s="369" t="s">
        <v>1063</v>
      </c>
      <c r="F601" s="369">
        <v>540</v>
      </c>
      <c r="G601" s="265">
        <v>7710.9480299999996</v>
      </c>
      <c r="H601" s="288"/>
      <c r="I601" s="265">
        <v>8456.9877400000005</v>
      </c>
      <c r="J601" s="288"/>
      <c r="K601" s="591">
        <f t="shared" si="192"/>
        <v>746.03971000000092</v>
      </c>
      <c r="L601" s="591">
        <f t="shared" si="193"/>
        <v>0</v>
      </c>
      <c r="M601" s="217"/>
      <c r="N601" s="292"/>
      <c r="R601" s="265">
        <v>4689.21335</v>
      </c>
      <c r="S601" s="288"/>
      <c r="T601" s="309"/>
      <c r="U601" s="498"/>
      <c r="V601" s="498"/>
      <c r="W601" s="310"/>
      <c r="X601" s="310"/>
    </row>
    <row r="602" spans="1:24" s="176" customFormat="1" ht="25.5" x14ac:dyDescent="0.2">
      <c r="A602" s="739" t="s">
        <v>648</v>
      </c>
      <c r="B602" s="243" t="s">
        <v>7</v>
      </c>
      <c r="C602" s="353" t="s">
        <v>611</v>
      </c>
      <c r="D602" s="353" t="s">
        <v>605</v>
      </c>
      <c r="E602" s="369" t="s">
        <v>1063</v>
      </c>
      <c r="F602" s="369" t="s">
        <v>127</v>
      </c>
      <c r="G602" s="288">
        <v>19365.869330000001</v>
      </c>
      <c r="H602" s="288"/>
      <c r="I602" s="288">
        <v>21262.375970000001</v>
      </c>
      <c r="J602" s="288"/>
      <c r="K602" s="43">
        <f t="shared" si="192"/>
        <v>1896.5066399999996</v>
      </c>
      <c r="L602" s="43">
        <f t="shared" si="193"/>
        <v>0</v>
      </c>
      <c r="M602" s="217">
        <f t="shared" si="195"/>
        <v>0</v>
      </c>
      <c r="N602" s="43">
        <v>1967.06</v>
      </c>
      <c r="P602" s="189">
        <f>G581+G602+G751-P611</f>
        <v>13321.451970000002</v>
      </c>
      <c r="Q602" s="189"/>
      <c r="R602" s="288">
        <v>11796.434649999999</v>
      </c>
      <c r="S602" s="288"/>
      <c r="T602" s="217">
        <f t="shared" si="196"/>
        <v>1896.5066399999996</v>
      </c>
      <c r="U602" s="288">
        <v>11796.43432</v>
      </c>
      <c r="V602" s="288">
        <v>0</v>
      </c>
      <c r="W602" s="203">
        <f>G602-I602</f>
        <v>-1896.5066399999996</v>
      </c>
      <c r="X602" s="203">
        <f>K602+W602</f>
        <v>0</v>
      </c>
    </row>
    <row r="603" spans="1:24" s="323" customFormat="1" ht="15" x14ac:dyDescent="0.2">
      <c r="A603" s="746" t="s">
        <v>1050</v>
      </c>
      <c r="B603" s="306" t="s">
        <v>7</v>
      </c>
      <c r="C603" s="354" t="s">
        <v>611</v>
      </c>
      <c r="D603" s="354" t="s">
        <v>605</v>
      </c>
      <c r="E603" s="719" t="s">
        <v>2012</v>
      </c>
      <c r="F603" s="450"/>
      <c r="G603" s="591">
        <f>G604</f>
        <v>0</v>
      </c>
      <c r="H603" s="591">
        <f>H604</f>
        <v>0</v>
      </c>
      <c r="I603" s="591">
        <f>I604</f>
        <v>4639.8115900000003</v>
      </c>
      <c r="J603" s="591">
        <f>J604</f>
        <v>0</v>
      </c>
      <c r="K603" s="591">
        <f t="shared" si="192"/>
        <v>4639.8115900000003</v>
      </c>
      <c r="L603" s="591">
        <f t="shared" si="193"/>
        <v>0</v>
      </c>
      <c r="M603" s="217">
        <f t="shared" si="195"/>
        <v>0</v>
      </c>
      <c r="N603" s="292"/>
      <c r="P603" s="325"/>
      <c r="Q603" s="325"/>
      <c r="R603" s="591">
        <f>R604</f>
        <v>6156.6760000000004</v>
      </c>
      <c r="S603" s="591">
        <f>S604</f>
        <v>0</v>
      </c>
      <c r="T603" s="309"/>
      <c r="U603" s="498">
        <f>U604</f>
        <v>1678.18</v>
      </c>
      <c r="V603" s="498">
        <f>V604</f>
        <v>0</v>
      </c>
      <c r="W603" s="310">
        <f>G603-I603</f>
        <v>-4639.8115900000003</v>
      </c>
      <c r="X603" s="310">
        <f>K603+W603</f>
        <v>0</v>
      </c>
    </row>
    <row r="604" spans="1:24" s="176" customFormat="1" ht="25.5" x14ac:dyDescent="0.2">
      <c r="A604" s="739" t="s">
        <v>648</v>
      </c>
      <c r="B604" s="243" t="s">
        <v>7</v>
      </c>
      <c r="C604" s="353" t="s">
        <v>611</v>
      </c>
      <c r="D604" s="353" t="s">
        <v>605</v>
      </c>
      <c r="E604" s="386" t="s">
        <v>2012</v>
      </c>
      <c r="F604" s="369" t="s">
        <v>127</v>
      </c>
      <c r="G604" s="288"/>
      <c r="H604" s="288"/>
      <c r="I604" s="288">
        <v>4639.8115900000003</v>
      </c>
      <c r="J604" s="288"/>
      <c r="K604" s="43">
        <f t="shared" si="192"/>
        <v>4639.8115900000003</v>
      </c>
      <c r="L604" s="43">
        <f t="shared" si="193"/>
        <v>0</v>
      </c>
      <c r="M604" s="217">
        <f t="shared" si="195"/>
        <v>0</v>
      </c>
      <c r="N604" s="43"/>
      <c r="P604" s="189"/>
      <c r="Q604" s="189"/>
      <c r="R604" s="288">
        <v>6156.6760000000004</v>
      </c>
      <c r="S604" s="288"/>
      <c r="T604" s="217"/>
      <c r="U604" s="288">
        <v>1678.18</v>
      </c>
      <c r="V604" s="288"/>
      <c r="W604" s="203">
        <f>G604-I604</f>
        <v>-4639.8115900000003</v>
      </c>
      <c r="X604" s="203">
        <f>K604+W604</f>
        <v>0</v>
      </c>
    </row>
    <row r="605" spans="1:24" s="176" customFormat="1" ht="15" x14ac:dyDescent="0.2">
      <c r="A605" s="746" t="s">
        <v>178</v>
      </c>
      <c r="B605" s="306" t="s">
        <v>7</v>
      </c>
      <c r="C605" s="354" t="s">
        <v>611</v>
      </c>
      <c r="D605" s="354" t="s">
        <v>605</v>
      </c>
      <c r="E605" s="545" t="s">
        <v>561</v>
      </c>
      <c r="F605" s="545"/>
      <c r="G605" s="591">
        <f>G606</f>
        <v>1506</v>
      </c>
      <c r="H605" s="591">
        <f>H606</f>
        <v>0</v>
      </c>
      <c r="I605" s="591">
        <f>I606</f>
        <v>1506</v>
      </c>
      <c r="J605" s="591">
        <f>J606</f>
        <v>0</v>
      </c>
      <c r="K605" s="43">
        <f t="shared" si="192"/>
        <v>0</v>
      </c>
      <c r="L605" s="43">
        <f t="shared" si="193"/>
        <v>0</v>
      </c>
      <c r="M605" s="217"/>
      <c r="N605" s="43"/>
      <c r="P605" s="189"/>
      <c r="Q605" s="189"/>
      <c r="R605" s="591">
        <f>R606</f>
        <v>1506</v>
      </c>
      <c r="S605" s="591">
        <f>S606</f>
        <v>0</v>
      </c>
      <c r="T605" s="217"/>
      <c r="U605" s="288"/>
      <c r="V605" s="288"/>
      <c r="W605" s="203"/>
      <c r="X605" s="203"/>
    </row>
    <row r="606" spans="1:24" s="176" customFormat="1" ht="15" x14ac:dyDescent="0.2">
      <c r="A606" s="739" t="s">
        <v>164</v>
      </c>
      <c r="B606" s="243" t="s">
        <v>7</v>
      </c>
      <c r="C606" s="353" t="s">
        <v>611</v>
      </c>
      <c r="D606" s="353" t="s">
        <v>605</v>
      </c>
      <c r="E606" s="369" t="s">
        <v>561</v>
      </c>
      <c r="F606" s="369" t="s">
        <v>132</v>
      </c>
      <c r="G606" s="265">
        <v>1506</v>
      </c>
      <c r="H606" s="288"/>
      <c r="I606" s="265">
        <v>1506</v>
      </c>
      <c r="J606" s="288"/>
      <c r="K606" s="43">
        <f t="shared" si="192"/>
        <v>0</v>
      </c>
      <c r="L606" s="43">
        <f t="shared" si="193"/>
        <v>0</v>
      </c>
      <c r="M606" s="217"/>
      <c r="N606" s="43"/>
      <c r="P606" s="189"/>
      <c r="Q606" s="189"/>
      <c r="R606" s="265">
        <v>1506</v>
      </c>
      <c r="S606" s="288"/>
      <c r="T606" s="217"/>
      <c r="U606" s="288"/>
      <c r="V606" s="288"/>
      <c r="W606" s="203"/>
      <c r="X606" s="203"/>
    </row>
    <row r="607" spans="1:24" s="689" customFormat="1" ht="15" x14ac:dyDescent="0.2">
      <c r="A607" s="749" t="s">
        <v>1067</v>
      </c>
      <c r="B607" s="679" t="s">
        <v>7</v>
      </c>
      <c r="C607" s="680" t="s">
        <v>611</v>
      </c>
      <c r="D607" s="680" t="s">
        <v>605</v>
      </c>
      <c r="E607" s="681" t="s">
        <v>1380</v>
      </c>
      <c r="F607" s="681"/>
      <c r="G607" s="591">
        <f>G608</f>
        <v>212.76595</v>
      </c>
      <c r="H607" s="591">
        <f>H608</f>
        <v>200</v>
      </c>
      <c r="I607" s="685">
        <f>I608</f>
        <v>212.76595</v>
      </c>
      <c r="J607" s="685">
        <f>J608</f>
        <v>200</v>
      </c>
      <c r="K607" s="685">
        <f t="shared" si="192"/>
        <v>0</v>
      </c>
      <c r="L607" s="685">
        <f t="shared" si="193"/>
        <v>0</v>
      </c>
      <c r="M607" s="686">
        <f t="shared" si="195"/>
        <v>0</v>
      </c>
      <c r="N607" s="43"/>
      <c r="O607" s="176"/>
      <c r="P607" s="687"/>
      <c r="Q607" s="687"/>
      <c r="R607" s="685">
        <f>R608</f>
        <v>159.57446999999999</v>
      </c>
      <c r="S607" s="685">
        <f>S608</f>
        <v>150</v>
      </c>
      <c r="T607" s="686"/>
      <c r="U607" s="685">
        <f>U608</f>
        <v>55.851489999999998</v>
      </c>
      <c r="V607" s="685">
        <f>V608</f>
        <v>50</v>
      </c>
      <c r="W607" s="688"/>
      <c r="X607" s="688"/>
    </row>
    <row r="608" spans="1:24" s="689" customFormat="1" ht="15" x14ac:dyDescent="0.2">
      <c r="A608" s="749" t="s">
        <v>1069</v>
      </c>
      <c r="B608" s="679" t="s">
        <v>7</v>
      </c>
      <c r="C608" s="680" t="s">
        <v>611</v>
      </c>
      <c r="D608" s="680" t="s">
        <v>605</v>
      </c>
      <c r="E608" s="681" t="s">
        <v>1381</v>
      </c>
      <c r="F608" s="681"/>
      <c r="G608" s="591">
        <f t="shared" ref="G608:L608" si="197">G610+G609</f>
        <v>212.76595</v>
      </c>
      <c r="H608" s="591">
        <f t="shared" si="197"/>
        <v>200</v>
      </c>
      <c r="I608" s="591">
        <f t="shared" si="197"/>
        <v>212.76595</v>
      </c>
      <c r="J608" s="591">
        <f t="shared" si="197"/>
        <v>200</v>
      </c>
      <c r="K608" s="591">
        <f t="shared" si="197"/>
        <v>0</v>
      </c>
      <c r="L608" s="591">
        <f t="shared" si="197"/>
        <v>0</v>
      </c>
      <c r="M608" s="686">
        <f t="shared" si="195"/>
        <v>0</v>
      </c>
      <c r="N608" s="43"/>
      <c r="O608" s="176"/>
      <c r="P608" s="687"/>
      <c r="Q608" s="687"/>
      <c r="R608" s="685">
        <f>R610</f>
        <v>159.57446999999999</v>
      </c>
      <c r="S608" s="685">
        <f>S610</f>
        <v>150</v>
      </c>
      <c r="T608" s="686"/>
      <c r="U608" s="685">
        <f>U610</f>
        <v>55.851489999999998</v>
      </c>
      <c r="V608" s="685">
        <f>V610</f>
        <v>50</v>
      </c>
      <c r="W608" s="688"/>
      <c r="X608" s="688"/>
    </row>
    <row r="609" spans="1:24" s="689" customFormat="1" ht="15" x14ac:dyDescent="0.2">
      <c r="A609" s="739" t="s">
        <v>164</v>
      </c>
      <c r="B609" s="682" t="s">
        <v>7</v>
      </c>
      <c r="C609" s="683" t="s">
        <v>611</v>
      </c>
      <c r="D609" s="683" t="s">
        <v>605</v>
      </c>
      <c r="E609" s="684" t="s">
        <v>1381</v>
      </c>
      <c r="F609" s="684">
        <v>540</v>
      </c>
      <c r="G609" s="654">
        <v>106.38298</v>
      </c>
      <c r="H609" s="654">
        <v>100</v>
      </c>
      <c r="I609" s="654">
        <v>106.38298</v>
      </c>
      <c r="J609" s="654">
        <v>100</v>
      </c>
      <c r="K609" s="711">
        <f>I609-G609</f>
        <v>0</v>
      </c>
      <c r="L609" s="711">
        <f>J609-H609</f>
        <v>0</v>
      </c>
      <c r="M609" s="686">
        <f>I609-G609-K609</f>
        <v>0</v>
      </c>
      <c r="N609" s="43"/>
      <c r="O609" s="176"/>
      <c r="P609" s="687"/>
      <c r="Q609" s="687"/>
      <c r="R609" s="654">
        <v>159.57446999999999</v>
      </c>
      <c r="S609" s="654">
        <v>150</v>
      </c>
      <c r="T609" s="686"/>
      <c r="U609" s="654">
        <v>55.851489999999998</v>
      </c>
      <c r="V609" s="654">
        <v>50</v>
      </c>
      <c r="W609" s="688"/>
      <c r="X609" s="688"/>
    </row>
    <row r="610" spans="1:24" s="689" customFormat="1" ht="15" x14ac:dyDescent="0.2">
      <c r="A610" s="750" t="s">
        <v>125</v>
      </c>
      <c r="B610" s="682" t="s">
        <v>7</v>
      </c>
      <c r="C610" s="683" t="s">
        <v>611</v>
      </c>
      <c r="D610" s="683" t="s">
        <v>605</v>
      </c>
      <c r="E610" s="684" t="s">
        <v>1381</v>
      </c>
      <c r="F610" s="684">
        <v>612</v>
      </c>
      <c r="G610" s="654">
        <v>106.38297</v>
      </c>
      <c r="H610" s="654">
        <v>100</v>
      </c>
      <c r="I610" s="654">
        <v>106.38297</v>
      </c>
      <c r="J610" s="654">
        <v>100</v>
      </c>
      <c r="K610" s="711">
        <f t="shared" si="192"/>
        <v>0</v>
      </c>
      <c r="L610" s="711">
        <f t="shared" si="193"/>
        <v>0</v>
      </c>
      <c r="M610" s="686">
        <f t="shared" si="195"/>
        <v>0</v>
      </c>
      <c r="N610" s="43"/>
      <c r="O610" s="176"/>
      <c r="P610" s="687"/>
      <c r="Q610" s="687"/>
      <c r="R610" s="654">
        <v>159.57446999999999</v>
      </c>
      <c r="S610" s="654">
        <v>150</v>
      </c>
      <c r="T610" s="686"/>
      <c r="U610" s="654">
        <v>55.851489999999998</v>
      </c>
      <c r="V610" s="654">
        <v>50</v>
      </c>
      <c r="W610" s="688"/>
      <c r="X610" s="688"/>
    </row>
    <row r="611" spans="1:24" s="307" customFormat="1" ht="25.5" x14ac:dyDescent="0.2">
      <c r="A611" s="746" t="s">
        <v>717</v>
      </c>
      <c r="B611" s="306" t="s">
        <v>7</v>
      </c>
      <c r="C611" s="354" t="s">
        <v>611</v>
      </c>
      <c r="D611" s="354" t="s">
        <v>605</v>
      </c>
      <c r="E611" s="450" t="s">
        <v>714</v>
      </c>
      <c r="F611" s="450"/>
      <c r="G611" s="591">
        <f>G624+G612+G621</f>
        <v>1040.1350600000001</v>
      </c>
      <c r="H611" s="591">
        <f>H624+H612+H621</f>
        <v>859.60301000000004</v>
      </c>
      <c r="I611" s="591">
        <f>I624+I612+I621</f>
        <v>1040.1350600000001</v>
      </c>
      <c r="J611" s="591">
        <f>J624+J612+J621</f>
        <v>859.60301000000004</v>
      </c>
      <c r="K611" s="591">
        <f t="shared" si="192"/>
        <v>0</v>
      </c>
      <c r="L611" s="591">
        <f t="shared" si="193"/>
        <v>0</v>
      </c>
      <c r="M611" s="217">
        <f t="shared" si="195"/>
        <v>0</v>
      </c>
      <c r="N611" s="324"/>
      <c r="P611" s="307">
        <v>16580.400000000001</v>
      </c>
      <c r="R611" s="591">
        <f>R624+R612+R621</f>
        <v>16518.648369999999</v>
      </c>
      <c r="S611" s="591">
        <f>S624+S612+S621</f>
        <v>14674.08474</v>
      </c>
      <c r="T611" s="307">
        <v>13727.9</v>
      </c>
      <c r="U611" s="498">
        <f>U624+U612+U621</f>
        <v>12763.87689</v>
      </c>
      <c r="V611" s="498">
        <f>V624+V612+V621</f>
        <v>12619.688629999999</v>
      </c>
      <c r="W611" s="310">
        <f>G611-I611</f>
        <v>0</v>
      </c>
      <c r="X611" s="310">
        <f>K611+W611</f>
        <v>0</v>
      </c>
    </row>
    <row r="612" spans="1:24" s="307" customFormat="1" ht="25.5" x14ac:dyDescent="0.2">
      <c r="A612" s="746" t="s">
        <v>718</v>
      </c>
      <c r="B612" s="306" t="s">
        <v>7</v>
      </c>
      <c r="C612" s="354" t="s">
        <v>611</v>
      </c>
      <c r="D612" s="354" t="s">
        <v>605</v>
      </c>
      <c r="E612" s="495">
        <v>7320100000</v>
      </c>
      <c r="F612" s="495"/>
      <c r="G612" s="591">
        <f>G616+G613+G649+G619</f>
        <v>1040.1350600000001</v>
      </c>
      <c r="H612" s="591">
        <f t="shared" ref="H612:L612" si="198">H616+H613+H649+H619</f>
        <v>859.60301000000004</v>
      </c>
      <c r="I612" s="591">
        <f t="shared" si="198"/>
        <v>1040.1350600000001</v>
      </c>
      <c r="J612" s="591">
        <f t="shared" si="198"/>
        <v>859.60301000000004</v>
      </c>
      <c r="K612" s="591">
        <f t="shared" si="198"/>
        <v>0</v>
      </c>
      <c r="L612" s="591">
        <f t="shared" si="198"/>
        <v>0</v>
      </c>
      <c r="M612" s="217"/>
      <c r="N612" s="324"/>
      <c r="R612" s="591">
        <f>R616+R613</f>
        <v>1899.6283699999999</v>
      </c>
      <c r="S612" s="591">
        <f>S616+S613</f>
        <v>932.19118000000003</v>
      </c>
      <c r="U612" s="498">
        <f>U616</f>
        <v>1084.87689</v>
      </c>
      <c r="V612" s="498">
        <f>V616</f>
        <v>999.38863000000003</v>
      </c>
      <c r="W612" s="310"/>
      <c r="X612" s="310"/>
    </row>
    <row r="613" spans="1:24" s="307" customFormat="1" ht="15" hidden="1" x14ac:dyDescent="0.2">
      <c r="A613" s="598" t="s">
        <v>1530</v>
      </c>
      <c r="B613" s="306" t="s">
        <v>7</v>
      </c>
      <c r="C613" s="354" t="s">
        <v>611</v>
      </c>
      <c r="D613" s="354" t="s">
        <v>605</v>
      </c>
      <c r="E613" s="582">
        <v>7320182220</v>
      </c>
      <c r="F613" s="582"/>
      <c r="G613" s="591">
        <f>G614+G615</f>
        <v>0</v>
      </c>
      <c r="H613" s="591">
        <f>H614+H615</f>
        <v>0</v>
      </c>
      <c r="I613" s="591">
        <f>I614+I615</f>
        <v>0</v>
      </c>
      <c r="J613" s="591">
        <f>J614+J615</f>
        <v>0</v>
      </c>
      <c r="K613" s="591">
        <f t="shared" si="192"/>
        <v>0</v>
      </c>
      <c r="L613" s="591">
        <f t="shared" si="193"/>
        <v>0</v>
      </c>
      <c r="M613" s="217"/>
      <c r="N613" s="324"/>
      <c r="R613" s="591">
        <f>R614+R615</f>
        <v>887.697</v>
      </c>
      <c r="S613" s="591">
        <f>S614+S615</f>
        <v>0</v>
      </c>
      <c r="U613" s="591"/>
      <c r="V613" s="591"/>
      <c r="W613" s="310"/>
      <c r="X613" s="310"/>
    </row>
    <row r="614" spans="1:24" s="307" customFormat="1" ht="15" hidden="1" x14ac:dyDescent="0.2">
      <c r="A614" s="124" t="s">
        <v>164</v>
      </c>
      <c r="B614" s="243" t="s">
        <v>7</v>
      </c>
      <c r="C614" s="353" t="s">
        <v>611</v>
      </c>
      <c r="D614" s="353" t="s">
        <v>605</v>
      </c>
      <c r="E614" s="386">
        <v>7320182220</v>
      </c>
      <c r="F614" s="369" t="s">
        <v>132</v>
      </c>
      <c r="G614" s="288"/>
      <c r="H614" s="265"/>
      <c r="I614" s="288"/>
      <c r="J614" s="265"/>
      <c r="K614" s="255">
        <f t="shared" si="192"/>
        <v>0</v>
      </c>
      <c r="L614" s="43">
        <f t="shared" si="193"/>
        <v>0</v>
      </c>
      <c r="M614" s="217"/>
      <c r="N614" s="324"/>
      <c r="R614" s="288">
        <v>290</v>
      </c>
      <c r="S614" s="265"/>
      <c r="U614" s="591"/>
      <c r="V614" s="591"/>
      <c r="W614" s="310"/>
      <c r="X614" s="310"/>
    </row>
    <row r="615" spans="1:24" s="307" customFormat="1" ht="15" hidden="1" x14ac:dyDescent="0.2">
      <c r="A615" s="186" t="s">
        <v>125</v>
      </c>
      <c r="B615" s="243" t="s">
        <v>7</v>
      </c>
      <c r="C615" s="353" t="s">
        <v>611</v>
      </c>
      <c r="D615" s="353" t="s">
        <v>605</v>
      </c>
      <c r="E615" s="386">
        <v>7320182220</v>
      </c>
      <c r="F615" s="369">
        <v>612</v>
      </c>
      <c r="G615" s="288"/>
      <c r="H615" s="265"/>
      <c r="I615" s="288"/>
      <c r="J615" s="265"/>
      <c r="K615" s="255">
        <f t="shared" si="192"/>
        <v>0</v>
      </c>
      <c r="L615" s="43">
        <f t="shared" si="193"/>
        <v>0</v>
      </c>
      <c r="M615" s="217"/>
      <c r="N615" s="324"/>
      <c r="R615" s="288">
        <v>597.697</v>
      </c>
      <c r="S615" s="265"/>
      <c r="U615" s="591"/>
      <c r="V615" s="591"/>
      <c r="W615" s="310"/>
      <c r="X615" s="310"/>
    </row>
    <row r="616" spans="1:24" s="307" customFormat="1" ht="25.5" x14ac:dyDescent="0.2">
      <c r="A616" s="746" t="s">
        <v>851</v>
      </c>
      <c r="B616" s="306" t="s">
        <v>7</v>
      </c>
      <c r="C616" s="354" t="s">
        <v>611</v>
      </c>
      <c r="D616" s="354" t="s">
        <v>605</v>
      </c>
      <c r="E616" s="506" t="s">
        <v>1005</v>
      </c>
      <c r="F616" s="495"/>
      <c r="G616" s="591">
        <f>G617+G618</f>
        <v>933.13505999999995</v>
      </c>
      <c r="H616" s="591">
        <f>H617+H618</f>
        <v>859.60301000000004</v>
      </c>
      <c r="I616" s="591">
        <f>I617+I618</f>
        <v>933.13505999999995</v>
      </c>
      <c r="J616" s="591">
        <f>J617+J618</f>
        <v>859.60301000000004</v>
      </c>
      <c r="K616" s="591">
        <f t="shared" si="192"/>
        <v>0</v>
      </c>
      <c r="L616" s="591">
        <f t="shared" si="193"/>
        <v>0</v>
      </c>
      <c r="M616" s="217"/>
      <c r="N616" s="324"/>
      <c r="R616" s="591">
        <f>R617+R618</f>
        <v>1011.93137</v>
      </c>
      <c r="S616" s="591">
        <f>S617+S618</f>
        <v>932.19118000000003</v>
      </c>
      <c r="U616" s="498">
        <f>U617</f>
        <v>1084.87689</v>
      </c>
      <c r="V616" s="498">
        <f>V617</f>
        <v>999.38863000000003</v>
      </c>
      <c r="W616" s="310"/>
      <c r="X616" s="310"/>
    </row>
    <row r="617" spans="1:24" s="307" customFormat="1" ht="26.25" hidden="1" customHeight="1" x14ac:dyDescent="0.2">
      <c r="A617" s="124" t="s">
        <v>164</v>
      </c>
      <c r="B617" s="243" t="s">
        <v>7</v>
      </c>
      <c r="C617" s="353" t="s">
        <v>611</v>
      </c>
      <c r="D617" s="353" t="s">
        <v>605</v>
      </c>
      <c r="E617" s="386" t="s">
        <v>1005</v>
      </c>
      <c r="F617" s="369" t="s">
        <v>132</v>
      </c>
      <c r="G617" s="288"/>
      <c r="H617" s="654"/>
      <c r="I617" s="288"/>
      <c r="J617" s="654"/>
      <c r="K617" s="255">
        <f t="shared" si="192"/>
        <v>0</v>
      </c>
      <c r="L617" s="43">
        <f t="shared" si="193"/>
        <v>0</v>
      </c>
      <c r="M617" s="217"/>
      <c r="N617" s="324"/>
      <c r="R617" s="288"/>
      <c r="S617" s="265"/>
      <c r="U617" s="288">
        <v>1084.87689</v>
      </c>
      <c r="V617" s="265">
        <v>999.38863000000003</v>
      </c>
      <c r="W617" s="310"/>
      <c r="X617" s="310"/>
    </row>
    <row r="618" spans="1:24" s="307" customFormat="1" ht="15" x14ac:dyDescent="0.2">
      <c r="A618" s="744" t="s">
        <v>125</v>
      </c>
      <c r="B618" s="243" t="s">
        <v>7</v>
      </c>
      <c r="C618" s="353" t="s">
        <v>611</v>
      </c>
      <c r="D618" s="353" t="s">
        <v>605</v>
      </c>
      <c r="E618" s="386" t="s">
        <v>1005</v>
      </c>
      <c r="F618" s="369">
        <v>612</v>
      </c>
      <c r="G618" s="288">
        <v>933.13505999999995</v>
      </c>
      <c r="H618" s="654">
        <v>859.60301000000004</v>
      </c>
      <c r="I618" s="288">
        <v>933.13505999999995</v>
      </c>
      <c r="J618" s="654">
        <v>859.60301000000004</v>
      </c>
      <c r="K618" s="255">
        <f t="shared" si="192"/>
        <v>0</v>
      </c>
      <c r="L618" s="43">
        <f t="shared" si="193"/>
        <v>0</v>
      </c>
      <c r="M618" s="217"/>
      <c r="N618" s="324"/>
      <c r="R618" s="288">
        <v>1011.93137</v>
      </c>
      <c r="S618" s="265">
        <v>932.19118000000003</v>
      </c>
      <c r="U618" s="288"/>
      <c r="V618" s="265"/>
      <c r="W618" s="310"/>
      <c r="X618" s="310"/>
    </row>
    <row r="619" spans="1:24" s="307" customFormat="1" ht="15" x14ac:dyDescent="0.2">
      <c r="A619" s="741" t="s">
        <v>1623</v>
      </c>
      <c r="B619" s="388" t="s">
        <v>7</v>
      </c>
      <c r="C619" s="389" t="s">
        <v>611</v>
      </c>
      <c r="D619" s="389" t="s">
        <v>605</v>
      </c>
      <c r="E619" s="515" t="s">
        <v>1988</v>
      </c>
      <c r="F619" s="390"/>
      <c r="G619" s="391">
        <f t="shared" ref="G619:J622" si="199">G620</f>
        <v>0</v>
      </c>
      <c r="H619" s="391">
        <f t="shared" si="199"/>
        <v>0</v>
      </c>
      <c r="I619" s="391">
        <f t="shared" si="199"/>
        <v>107</v>
      </c>
      <c r="J619" s="391">
        <f t="shared" si="199"/>
        <v>0</v>
      </c>
      <c r="K619" s="391">
        <f t="shared" ref="K619:K620" si="200">I619-G619</f>
        <v>107</v>
      </c>
      <c r="L619" s="391">
        <f t="shared" ref="L619:L620" si="201">J619-H619</f>
        <v>0</v>
      </c>
      <c r="M619" s="217"/>
      <c r="N619" s="324"/>
      <c r="R619" s="288"/>
      <c r="S619" s="265"/>
      <c r="U619" s="288"/>
      <c r="V619" s="265"/>
      <c r="W619" s="310"/>
      <c r="X619" s="310"/>
    </row>
    <row r="620" spans="1:24" s="307" customFormat="1" ht="15" x14ac:dyDescent="0.2">
      <c r="A620" s="744" t="s">
        <v>1584</v>
      </c>
      <c r="B620" s="243" t="s">
        <v>7</v>
      </c>
      <c r="C620" s="353" t="s">
        <v>611</v>
      </c>
      <c r="D620" s="353" t="s">
        <v>605</v>
      </c>
      <c r="E620" s="386" t="s">
        <v>1988</v>
      </c>
      <c r="F620" s="369">
        <v>540</v>
      </c>
      <c r="G620" s="288">
        <v>0</v>
      </c>
      <c r="H620" s="265"/>
      <c r="I620" s="288">
        <v>107</v>
      </c>
      <c r="J620" s="265"/>
      <c r="K620" s="255">
        <f t="shared" si="200"/>
        <v>107</v>
      </c>
      <c r="L620" s="43">
        <f t="shared" si="201"/>
        <v>0</v>
      </c>
      <c r="M620" s="217"/>
      <c r="N620" s="324"/>
      <c r="R620" s="288"/>
      <c r="S620" s="265"/>
      <c r="U620" s="288"/>
      <c r="V620" s="265"/>
      <c r="W620" s="310"/>
      <c r="X620" s="310"/>
    </row>
    <row r="621" spans="1:24" s="307" customFormat="1" ht="26.25" hidden="1" customHeight="1" x14ac:dyDescent="0.2">
      <c r="A621" s="133" t="s">
        <v>1420</v>
      </c>
      <c r="B621" s="388" t="s">
        <v>7</v>
      </c>
      <c r="C621" s="389" t="s">
        <v>611</v>
      </c>
      <c r="D621" s="389" t="s">
        <v>605</v>
      </c>
      <c r="E621" s="515">
        <v>7321100000</v>
      </c>
      <c r="F621" s="390"/>
      <c r="G621" s="391">
        <f t="shared" si="199"/>
        <v>0</v>
      </c>
      <c r="H621" s="391">
        <f t="shared" si="199"/>
        <v>0</v>
      </c>
      <c r="I621" s="391">
        <f t="shared" si="199"/>
        <v>0</v>
      </c>
      <c r="J621" s="391">
        <f t="shared" si="199"/>
        <v>0</v>
      </c>
      <c r="K621" s="391">
        <f t="shared" si="192"/>
        <v>0</v>
      </c>
      <c r="L621" s="391">
        <f t="shared" si="193"/>
        <v>0</v>
      </c>
      <c r="M621" s="217"/>
      <c r="N621" s="324"/>
      <c r="R621" s="391">
        <f>R622</f>
        <v>0</v>
      </c>
      <c r="S621" s="391">
        <f>S622</f>
        <v>0</v>
      </c>
      <c r="U621" s="391">
        <f>U622</f>
        <v>979</v>
      </c>
      <c r="V621" s="391">
        <f>V622</f>
        <v>920.3</v>
      </c>
      <c r="W621" s="310"/>
      <c r="X621" s="310"/>
    </row>
    <row r="622" spans="1:24" s="307" customFormat="1" ht="26.25" hidden="1" customHeight="1" x14ac:dyDescent="0.2">
      <c r="A622" s="133" t="s">
        <v>1404</v>
      </c>
      <c r="B622" s="388" t="s">
        <v>7</v>
      </c>
      <c r="C622" s="389" t="s">
        <v>611</v>
      </c>
      <c r="D622" s="389" t="s">
        <v>605</v>
      </c>
      <c r="E622" s="515" t="s">
        <v>1421</v>
      </c>
      <c r="F622" s="390"/>
      <c r="G622" s="391">
        <f t="shared" si="199"/>
        <v>0</v>
      </c>
      <c r="H622" s="391">
        <f t="shared" si="199"/>
        <v>0</v>
      </c>
      <c r="I622" s="391">
        <f t="shared" si="199"/>
        <v>0</v>
      </c>
      <c r="J622" s="391">
        <f t="shared" si="199"/>
        <v>0</v>
      </c>
      <c r="K622" s="391">
        <f t="shared" si="192"/>
        <v>0</v>
      </c>
      <c r="L622" s="391">
        <f t="shared" si="193"/>
        <v>0</v>
      </c>
      <c r="M622" s="217"/>
      <c r="N622" s="324"/>
      <c r="R622" s="391">
        <f>R623</f>
        <v>0</v>
      </c>
      <c r="S622" s="391">
        <f>S623</f>
        <v>0</v>
      </c>
      <c r="U622" s="391">
        <f>U623</f>
        <v>979</v>
      </c>
      <c r="V622" s="391">
        <f>V623</f>
        <v>920.3</v>
      </c>
      <c r="W622" s="310"/>
      <c r="X622" s="310"/>
    </row>
    <row r="623" spans="1:24" s="307" customFormat="1" ht="16.5" hidden="1" customHeight="1" x14ac:dyDescent="0.2">
      <c r="A623" s="186" t="s">
        <v>125</v>
      </c>
      <c r="B623" s="243" t="s">
        <v>7</v>
      </c>
      <c r="C623" s="353" t="s">
        <v>611</v>
      </c>
      <c r="D623" s="353" t="s">
        <v>605</v>
      </c>
      <c r="E623" s="386" t="s">
        <v>1421</v>
      </c>
      <c r="F623" s="369">
        <v>612</v>
      </c>
      <c r="G623" s="288">
        <v>0</v>
      </c>
      <c r="H623" s="265"/>
      <c r="I623" s="288">
        <v>0</v>
      </c>
      <c r="J623" s="265"/>
      <c r="K623" s="255">
        <f t="shared" si="192"/>
        <v>0</v>
      </c>
      <c r="L623" s="43">
        <f t="shared" si="193"/>
        <v>0</v>
      </c>
      <c r="M623" s="217"/>
      <c r="N623" s="324"/>
      <c r="R623" s="288">
        <v>0</v>
      </c>
      <c r="S623" s="265"/>
      <c r="U623" s="288">
        <v>979</v>
      </c>
      <c r="V623" s="265">
        <v>920.3</v>
      </c>
      <c r="W623" s="310"/>
      <c r="X623" s="310"/>
    </row>
    <row r="624" spans="1:24" s="307" customFormat="1" ht="15" hidden="1" x14ac:dyDescent="0.2">
      <c r="A624" s="451" t="s">
        <v>1136</v>
      </c>
      <c r="B624" s="306" t="s">
        <v>7</v>
      </c>
      <c r="C624" s="354" t="s">
        <v>611</v>
      </c>
      <c r="D624" s="354" t="s">
        <v>605</v>
      </c>
      <c r="E624" s="450" t="s">
        <v>1135</v>
      </c>
      <c r="F624" s="450"/>
      <c r="G624" s="498">
        <f>G625+G631</f>
        <v>0</v>
      </c>
      <c r="H624" s="498">
        <f>H625+H631</f>
        <v>0</v>
      </c>
      <c r="I624" s="591">
        <f>I625+I631</f>
        <v>0</v>
      </c>
      <c r="J624" s="591">
        <f>J625+J631</f>
        <v>0</v>
      </c>
      <c r="K624" s="591">
        <f t="shared" si="192"/>
        <v>0</v>
      </c>
      <c r="L624" s="591">
        <f t="shared" si="193"/>
        <v>0</v>
      </c>
      <c r="M624" s="217">
        <f t="shared" si="195"/>
        <v>0</v>
      </c>
      <c r="N624" s="324"/>
      <c r="R624" s="591">
        <f>R625+R631</f>
        <v>14619.02</v>
      </c>
      <c r="S624" s="591">
        <f>S625+S631</f>
        <v>13741.89356</v>
      </c>
      <c r="U624" s="498">
        <f>U625+U631</f>
        <v>10700</v>
      </c>
      <c r="V624" s="498">
        <f>V625+V631</f>
        <v>10700</v>
      </c>
      <c r="W624" s="310"/>
      <c r="X624" s="310"/>
    </row>
    <row r="625" spans="1:24" s="307" customFormat="1" ht="15" hidden="1" x14ac:dyDescent="0.2">
      <c r="A625" s="581" t="s">
        <v>1493</v>
      </c>
      <c r="B625" s="306" t="s">
        <v>7</v>
      </c>
      <c r="C625" s="354" t="s">
        <v>611</v>
      </c>
      <c r="D625" s="354" t="s">
        <v>605</v>
      </c>
      <c r="E625" s="450" t="s">
        <v>1066</v>
      </c>
      <c r="F625" s="450"/>
      <c r="G625" s="498">
        <f>G626+G628</f>
        <v>0</v>
      </c>
      <c r="H625" s="498">
        <f>H626+H628</f>
        <v>0</v>
      </c>
      <c r="I625" s="591">
        <f>I626+I628</f>
        <v>0</v>
      </c>
      <c r="J625" s="591">
        <f>J626+J628</f>
        <v>0</v>
      </c>
      <c r="K625" s="591">
        <f t="shared" si="192"/>
        <v>0</v>
      </c>
      <c r="L625" s="591">
        <f t="shared" si="193"/>
        <v>0</v>
      </c>
      <c r="M625" s="217">
        <f t="shared" si="195"/>
        <v>0</v>
      </c>
      <c r="N625" s="324"/>
      <c r="R625" s="591">
        <f>R626+R628</f>
        <v>14619.02</v>
      </c>
      <c r="S625" s="591">
        <f>S626+S628</f>
        <v>13741.89356</v>
      </c>
      <c r="U625" s="498">
        <f>U626</f>
        <v>5000</v>
      </c>
      <c r="V625" s="498">
        <f>V626</f>
        <v>5000</v>
      </c>
      <c r="W625" s="310"/>
      <c r="X625" s="310"/>
    </row>
    <row r="626" spans="1:24" s="307" customFormat="1" ht="16.5" hidden="1" customHeight="1" x14ac:dyDescent="0.2">
      <c r="A626" s="451" t="s">
        <v>1263</v>
      </c>
      <c r="B626" s="306" t="s">
        <v>7</v>
      </c>
      <c r="C626" s="354" t="s">
        <v>611</v>
      </c>
      <c r="D626" s="354" t="s">
        <v>605</v>
      </c>
      <c r="E626" s="450" t="s">
        <v>1262</v>
      </c>
      <c r="F626" s="450"/>
      <c r="G626" s="498">
        <f>G627</f>
        <v>0</v>
      </c>
      <c r="H626" s="498">
        <f>H627</f>
        <v>0</v>
      </c>
      <c r="I626" s="591">
        <f>I627</f>
        <v>0</v>
      </c>
      <c r="J626" s="591">
        <f>J627</f>
        <v>0</v>
      </c>
      <c r="K626" s="591">
        <f t="shared" si="192"/>
        <v>0</v>
      </c>
      <c r="L626" s="591">
        <f t="shared" si="193"/>
        <v>0</v>
      </c>
      <c r="M626" s="217">
        <f t="shared" si="195"/>
        <v>0</v>
      </c>
      <c r="N626" s="324"/>
      <c r="R626" s="591">
        <f>R627</f>
        <v>0</v>
      </c>
      <c r="S626" s="591">
        <f>S627</f>
        <v>0</v>
      </c>
      <c r="U626" s="498">
        <f>U627</f>
        <v>5000</v>
      </c>
      <c r="V626" s="498">
        <f>V627</f>
        <v>5000</v>
      </c>
      <c r="W626" s="310"/>
      <c r="X626" s="310"/>
    </row>
    <row r="627" spans="1:24" s="307" customFormat="1" ht="15.75" hidden="1" customHeight="1" x14ac:dyDescent="0.2">
      <c r="A627" s="124" t="s">
        <v>125</v>
      </c>
      <c r="B627" s="243" t="s">
        <v>7</v>
      </c>
      <c r="C627" s="353" t="s">
        <v>611</v>
      </c>
      <c r="D627" s="353" t="s">
        <v>605</v>
      </c>
      <c r="E627" s="369" t="s">
        <v>1262</v>
      </c>
      <c r="F627" s="369">
        <v>612</v>
      </c>
      <c r="G627" s="288"/>
      <c r="H627" s="265"/>
      <c r="I627" s="288"/>
      <c r="J627" s="265"/>
      <c r="K627" s="43">
        <f t="shared" si="192"/>
        <v>0</v>
      </c>
      <c r="L627" s="43">
        <f t="shared" si="193"/>
        <v>0</v>
      </c>
      <c r="M627" s="217">
        <f t="shared" si="195"/>
        <v>0</v>
      </c>
      <c r="N627" s="324"/>
      <c r="R627" s="288"/>
      <c r="S627" s="265"/>
      <c r="U627" s="288">
        <v>5000</v>
      </c>
      <c r="V627" s="265">
        <v>5000</v>
      </c>
      <c r="W627" s="310"/>
      <c r="X627" s="310"/>
    </row>
    <row r="628" spans="1:24" s="307" customFormat="1" ht="15" hidden="1" x14ac:dyDescent="0.2">
      <c r="A628" s="133" t="s">
        <v>1452</v>
      </c>
      <c r="B628" s="388" t="s">
        <v>7</v>
      </c>
      <c r="C628" s="389" t="s">
        <v>611</v>
      </c>
      <c r="D628" s="389" t="s">
        <v>605</v>
      </c>
      <c r="E628" s="515" t="s">
        <v>1451</v>
      </c>
      <c r="F628" s="390"/>
      <c r="G628" s="391">
        <f>G629+G630</f>
        <v>0</v>
      </c>
      <c r="H628" s="391">
        <f>H629+H630</f>
        <v>0</v>
      </c>
      <c r="I628" s="391">
        <f>I629+I630</f>
        <v>0</v>
      </c>
      <c r="J628" s="391">
        <f>J629+J630</f>
        <v>0</v>
      </c>
      <c r="K628" s="391">
        <f t="shared" si="192"/>
        <v>0</v>
      </c>
      <c r="L628" s="391">
        <f t="shared" si="193"/>
        <v>0</v>
      </c>
      <c r="M628" s="217"/>
      <c r="N628" s="324"/>
      <c r="R628" s="391">
        <f>R629+R630</f>
        <v>14619.02</v>
      </c>
      <c r="S628" s="391">
        <f>S629+S630</f>
        <v>13741.89356</v>
      </c>
      <c r="U628" s="288"/>
      <c r="V628" s="265"/>
      <c r="W628" s="310"/>
      <c r="X628" s="310"/>
    </row>
    <row r="629" spans="1:24" s="307" customFormat="1" ht="15" hidden="1" x14ac:dyDescent="0.2">
      <c r="A629" s="124" t="s">
        <v>164</v>
      </c>
      <c r="B629" s="243" t="s">
        <v>7</v>
      </c>
      <c r="C629" s="353" t="s">
        <v>611</v>
      </c>
      <c r="D629" s="353" t="s">
        <v>605</v>
      </c>
      <c r="E629" s="369" t="s">
        <v>1451</v>
      </c>
      <c r="F629" s="369">
        <v>540</v>
      </c>
      <c r="G629" s="265"/>
      <c r="H629" s="265"/>
      <c r="I629" s="265"/>
      <c r="J629" s="265"/>
      <c r="K629" s="43">
        <f t="shared" si="192"/>
        <v>0</v>
      </c>
      <c r="L629" s="43">
        <f t="shared" si="193"/>
        <v>0</v>
      </c>
      <c r="M629" s="217"/>
      <c r="N629" s="324"/>
      <c r="R629" s="265"/>
      <c r="S629" s="265"/>
      <c r="U629" s="288"/>
      <c r="V629" s="265"/>
      <c r="W629" s="310"/>
      <c r="X629" s="310"/>
    </row>
    <row r="630" spans="1:24" s="307" customFormat="1" ht="15" hidden="1" x14ac:dyDescent="0.2">
      <c r="A630" s="186" t="s">
        <v>126</v>
      </c>
      <c r="B630" s="243" t="s">
        <v>7</v>
      </c>
      <c r="C630" s="353" t="s">
        <v>611</v>
      </c>
      <c r="D630" s="353" t="s">
        <v>605</v>
      </c>
      <c r="E630" s="369" t="s">
        <v>1451</v>
      </c>
      <c r="F630" s="369">
        <v>622</v>
      </c>
      <c r="G630" s="265"/>
      <c r="H630" s="265"/>
      <c r="I630" s="265"/>
      <c r="J630" s="265"/>
      <c r="K630" s="43">
        <f t="shared" si="192"/>
        <v>0</v>
      </c>
      <c r="L630" s="43">
        <f t="shared" si="193"/>
        <v>0</v>
      </c>
      <c r="M630" s="217"/>
      <c r="N630" s="324"/>
      <c r="R630" s="265">
        <v>14619.02</v>
      </c>
      <c r="S630" s="265">
        <v>13741.89356</v>
      </c>
      <c r="U630" s="288"/>
      <c r="V630" s="265"/>
      <c r="W630" s="310"/>
      <c r="X630" s="310"/>
    </row>
    <row r="631" spans="1:24" s="307" customFormat="1" ht="17.25" hidden="1" customHeight="1" x14ac:dyDescent="0.2">
      <c r="A631" s="451" t="s">
        <v>1266</v>
      </c>
      <c r="B631" s="306" t="s">
        <v>7</v>
      </c>
      <c r="C631" s="354" t="s">
        <v>611</v>
      </c>
      <c r="D631" s="354" t="s">
        <v>605</v>
      </c>
      <c r="E631" s="450" t="s">
        <v>1264</v>
      </c>
      <c r="F631" s="450"/>
      <c r="G631" s="498">
        <f>G634+G632</f>
        <v>0</v>
      </c>
      <c r="H631" s="498">
        <f>H634+H632</f>
        <v>0</v>
      </c>
      <c r="I631" s="591">
        <f>I634+I632</f>
        <v>0</v>
      </c>
      <c r="J631" s="591">
        <f>J634+J632</f>
        <v>0</v>
      </c>
      <c r="K631" s="591">
        <f t="shared" si="192"/>
        <v>0</v>
      </c>
      <c r="L631" s="591">
        <f t="shared" si="193"/>
        <v>0</v>
      </c>
      <c r="M631" s="217">
        <f t="shared" si="195"/>
        <v>0</v>
      </c>
      <c r="N631" s="324"/>
      <c r="R631" s="591">
        <f>R634+R632</f>
        <v>0</v>
      </c>
      <c r="S631" s="591">
        <f>S634+S632</f>
        <v>0</v>
      </c>
      <c r="T631" s="309">
        <f>I631-G631</f>
        <v>0</v>
      </c>
      <c r="U631" s="498">
        <f>U634+U632</f>
        <v>5700</v>
      </c>
      <c r="V631" s="498">
        <f>V634+V632</f>
        <v>5700</v>
      </c>
      <c r="W631" s="310">
        <f t="shared" ref="W631:W638" si="202">G631-I631</f>
        <v>0</v>
      </c>
      <c r="X631" s="310">
        <f t="shared" ref="X631:X638" si="203">K631+W631</f>
        <v>0</v>
      </c>
    </row>
    <row r="632" spans="1:24" s="307" customFormat="1" ht="15.75" hidden="1" customHeight="1" x14ac:dyDescent="0.2">
      <c r="A632" s="451" t="s">
        <v>1267</v>
      </c>
      <c r="B632" s="306" t="s">
        <v>7</v>
      </c>
      <c r="C632" s="354" t="s">
        <v>611</v>
      </c>
      <c r="D632" s="354" t="s">
        <v>605</v>
      </c>
      <c r="E632" s="450" t="s">
        <v>1265</v>
      </c>
      <c r="F632" s="450"/>
      <c r="G632" s="498">
        <f>G633</f>
        <v>0</v>
      </c>
      <c r="H632" s="498">
        <f>H633</f>
        <v>0</v>
      </c>
      <c r="I632" s="591">
        <f>I633</f>
        <v>0</v>
      </c>
      <c r="J632" s="591">
        <f>J633</f>
        <v>0</v>
      </c>
      <c r="K632" s="591">
        <f t="shared" si="192"/>
        <v>0</v>
      </c>
      <c r="L632" s="591">
        <f t="shared" si="193"/>
        <v>0</v>
      </c>
      <c r="M632" s="217">
        <f t="shared" si="195"/>
        <v>0</v>
      </c>
      <c r="N632" s="324"/>
      <c r="R632" s="591">
        <f>R633</f>
        <v>0</v>
      </c>
      <c r="S632" s="591">
        <f>S633</f>
        <v>0</v>
      </c>
      <c r="T632" s="309">
        <f>I632-G632</f>
        <v>0</v>
      </c>
      <c r="U632" s="498">
        <f>U633</f>
        <v>5700</v>
      </c>
      <c r="V632" s="498">
        <f>V633</f>
        <v>5700</v>
      </c>
      <c r="W632" s="310">
        <f t="shared" si="202"/>
        <v>0</v>
      </c>
      <c r="X632" s="310">
        <f t="shared" si="203"/>
        <v>0</v>
      </c>
    </row>
    <row r="633" spans="1:24" ht="15" hidden="1" customHeight="1" x14ac:dyDescent="0.2">
      <c r="A633" s="124" t="s">
        <v>125</v>
      </c>
      <c r="B633" s="243" t="s">
        <v>7</v>
      </c>
      <c r="C633" s="353" t="s">
        <v>611</v>
      </c>
      <c r="D633" s="353" t="s">
        <v>605</v>
      </c>
      <c r="E633" s="369" t="s">
        <v>1265</v>
      </c>
      <c r="F633" s="369">
        <v>612</v>
      </c>
      <c r="G633" s="288"/>
      <c r="H633" s="265"/>
      <c r="I633" s="288"/>
      <c r="J633" s="265"/>
      <c r="K633" s="43">
        <f t="shared" si="192"/>
        <v>0</v>
      </c>
      <c r="L633" s="43">
        <f t="shared" si="193"/>
        <v>0</v>
      </c>
      <c r="M633" s="217">
        <f t="shared" si="195"/>
        <v>0</v>
      </c>
      <c r="N633" s="177"/>
      <c r="R633" s="288"/>
      <c r="S633" s="265"/>
      <c r="T633" s="217">
        <f>I633-G633</f>
        <v>0</v>
      </c>
      <c r="U633" s="288">
        <v>5700</v>
      </c>
      <c r="V633" s="265">
        <v>5700</v>
      </c>
      <c r="W633" s="203">
        <f t="shared" si="202"/>
        <v>0</v>
      </c>
      <c r="X633" s="203">
        <f t="shared" si="203"/>
        <v>0</v>
      </c>
    </row>
    <row r="634" spans="1:24" s="307" customFormat="1" ht="26.25" hidden="1" customHeight="1" x14ac:dyDescent="0.2">
      <c r="A634" s="451" t="s">
        <v>719</v>
      </c>
      <c r="B634" s="306" t="s">
        <v>7</v>
      </c>
      <c r="C634" s="354" t="s">
        <v>611</v>
      </c>
      <c r="D634" s="354" t="s">
        <v>605</v>
      </c>
      <c r="E634" s="450" t="s">
        <v>716</v>
      </c>
      <c r="F634" s="450"/>
      <c r="G634" s="498">
        <f>G635</f>
        <v>0</v>
      </c>
      <c r="H634" s="498">
        <f>H635</f>
        <v>0</v>
      </c>
      <c r="I634" s="591">
        <f>I635</f>
        <v>0</v>
      </c>
      <c r="J634" s="591">
        <f>J635</f>
        <v>0</v>
      </c>
      <c r="K634" s="591">
        <f t="shared" ref="K634:K704" si="204">I634-G634</f>
        <v>0</v>
      </c>
      <c r="L634" s="591">
        <f t="shared" ref="L634:L704" si="205">J634-H634</f>
        <v>0</v>
      </c>
      <c r="M634" s="217">
        <f t="shared" si="195"/>
        <v>0</v>
      </c>
      <c r="N634" s="324"/>
      <c r="R634" s="591">
        <f>R635</f>
        <v>0</v>
      </c>
      <c r="S634" s="591">
        <f>S635</f>
        <v>0</v>
      </c>
      <c r="T634" s="309">
        <f>I634-G634</f>
        <v>0</v>
      </c>
      <c r="U634" s="498">
        <f>U635</f>
        <v>0</v>
      </c>
      <c r="V634" s="498">
        <f>V635</f>
        <v>0</v>
      </c>
      <c r="W634" s="310">
        <f t="shared" si="202"/>
        <v>0</v>
      </c>
      <c r="X634" s="310">
        <f t="shared" si="203"/>
        <v>0</v>
      </c>
    </row>
    <row r="635" spans="1:24" ht="15.75" hidden="1" customHeight="1" x14ac:dyDescent="0.2">
      <c r="A635" s="124" t="s">
        <v>125</v>
      </c>
      <c r="B635" s="243" t="s">
        <v>7</v>
      </c>
      <c r="C635" s="353" t="s">
        <v>611</v>
      </c>
      <c r="D635" s="353" t="s">
        <v>605</v>
      </c>
      <c r="E635" s="369" t="s">
        <v>716</v>
      </c>
      <c r="F635" s="369" t="s">
        <v>123</v>
      </c>
      <c r="G635" s="288">
        <v>0</v>
      </c>
      <c r="H635" s="288"/>
      <c r="I635" s="288">
        <v>0</v>
      </c>
      <c r="J635" s="288"/>
      <c r="K635" s="43">
        <f t="shared" si="204"/>
        <v>0</v>
      </c>
      <c r="L635" s="43">
        <f t="shared" si="205"/>
        <v>0</v>
      </c>
      <c r="M635" s="217">
        <f t="shared" si="195"/>
        <v>0</v>
      </c>
      <c r="N635" s="177"/>
      <c r="R635" s="288">
        <v>0</v>
      </c>
      <c r="S635" s="288"/>
      <c r="T635" s="217">
        <f>I635-G635</f>
        <v>0</v>
      </c>
      <c r="U635" s="288">
        <v>0</v>
      </c>
      <c r="V635" s="288"/>
      <c r="W635" s="203">
        <f t="shared" si="202"/>
        <v>0</v>
      </c>
      <c r="X635" s="203">
        <f t="shared" si="203"/>
        <v>0</v>
      </c>
    </row>
    <row r="636" spans="1:24" s="307" customFormat="1" ht="27" hidden="1" customHeight="1" x14ac:dyDescent="0.2">
      <c r="A636" s="451" t="s">
        <v>1004</v>
      </c>
      <c r="B636" s="306" t="s">
        <v>7</v>
      </c>
      <c r="C636" s="354" t="s">
        <v>611</v>
      </c>
      <c r="D636" s="354" t="s">
        <v>605</v>
      </c>
      <c r="E636" s="450" t="s">
        <v>1002</v>
      </c>
      <c r="F636" s="450"/>
      <c r="G636" s="498">
        <f t="shared" ref="G636:J637" si="206">G637</f>
        <v>0</v>
      </c>
      <c r="H636" s="498">
        <f t="shared" si="206"/>
        <v>0</v>
      </c>
      <c r="I636" s="591">
        <f t="shared" si="206"/>
        <v>0</v>
      </c>
      <c r="J636" s="591">
        <f t="shared" si="206"/>
        <v>0</v>
      </c>
      <c r="K636" s="591">
        <f t="shared" si="204"/>
        <v>0</v>
      </c>
      <c r="L636" s="591">
        <f t="shared" si="205"/>
        <v>0</v>
      </c>
      <c r="M636" s="217">
        <f t="shared" si="195"/>
        <v>0</v>
      </c>
      <c r="N636" s="324"/>
      <c r="R636" s="591">
        <f>R637</f>
        <v>0</v>
      </c>
      <c r="S636" s="591">
        <f>S637</f>
        <v>0</v>
      </c>
      <c r="T636" s="309"/>
      <c r="U636" s="498">
        <f>U637</f>
        <v>0</v>
      </c>
      <c r="V636" s="498">
        <f>V637</f>
        <v>0</v>
      </c>
      <c r="W636" s="310">
        <f t="shared" si="202"/>
        <v>0</v>
      </c>
      <c r="X636" s="310">
        <f t="shared" si="203"/>
        <v>0</v>
      </c>
    </row>
    <row r="637" spans="1:24" s="307" customFormat="1" ht="15.75" hidden="1" customHeight="1" x14ac:dyDescent="0.2">
      <c r="A637" s="451" t="s">
        <v>675</v>
      </c>
      <c r="B637" s="306" t="s">
        <v>7</v>
      </c>
      <c r="C637" s="354" t="s">
        <v>611</v>
      </c>
      <c r="D637" s="354" t="s">
        <v>605</v>
      </c>
      <c r="E637" s="450" t="s">
        <v>1003</v>
      </c>
      <c r="F637" s="450"/>
      <c r="G637" s="498">
        <f t="shared" si="206"/>
        <v>0</v>
      </c>
      <c r="H637" s="498">
        <f t="shared" si="206"/>
        <v>0</v>
      </c>
      <c r="I637" s="591">
        <f t="shared" si="206"/>
        <v>0</v>
      </c>
      <c r="J637" s="591">
        <f t="shared" si="206"/>
        <v>0</v>
      </c>
      <c r="K637" s="591">
        <f t="shared" si="204"/>
        <v>0</v>
      </c>
      <c r="L637" s="591">
        <f t="shared" si="205"/>
        <v>0</v>
      </c>
      <c r="M637" s="217">
        <f t="shared" si="195"/>
        <v>0</v>
      </c>
      <c r="N637" s="324"/>
      <c r="R637" s="591">
        <f>R638</f>
        <v>0</v>
      </c>
      <c r="S637" s="591">
        <f>S638</f>
        <v>0</v>
      </c>
      <c r="T637" s="309"/>
      <c r="U637" s="498">
        <f>U638</f>
        <v>0</v>
      </c>
      <c r="V637" s="498">
        <f>V638</f>
        <v>0</v>
      </c>
      <c r="W637" s="310">
        <f t="shared" si="202"/>
        <v>0</v>
      </c>
      <c r="X637" s="310">
        <f t="shared" si="203"/>
        <v>0</v>
      </c>
    </row>
    <row r="638" spans="1:24" ht="15.75" hidden="1" customHeight="1" x14ac:dyDescent="0.2">
      <c r="A638" s="124" t="s">
        <v>125</v>
      </c>
      <c r="B638" s="243" t="s">
        <v>7</v>
      </c>
      <c r="C638" s="353" t="s">
        <v>611</v>
      </c>
      <c r="D638" s="353" t="s">
        <v>605</v>
      </c>
      <c r="E638" s="369" t="s">
        <v>1003</v>
      </c>
      <c r="F638" s="369" t="s">
        <v>123</v>
      </c>
      <c r="G638" s="288"/>
      <c r="H638" s="288"/>
      <c r="I638" s="288"/>
      <c r="J638" s="288"/>
      <c r="K638" s="43">
        <f t="shared" si="204"/>
        <v>0</v>
      </c>
      <c r="L638" s="43">
        <f t="shared" si="205"/>
        <v>0</v>
      </c>
      <c r="M638" s="217">
        <f t="shared" si="195"/>
        <v>0</v>
      </c>
      <c r="N638" s="177"/>
      <c r="R638" s="288"/>
      <c r="S638" s="288"/>
      <c r="T638" s="217"/>
      <c r="U638" s="288"/>
      <c r="V638" s="288"/>
      <c r="W638" s="203">
        <f t="shared" si="202"/>
        <v>0</v>
      </c>
      <c r="X638" s="203">
        <f t="shared" si="203"/>
        <v>0</v>
      </c>
    </row>
    <row r="639" spans="1:24" ht="18.75" hidden="1" customHeight="1" x14ac:dyDescent="0.2">
      <c r="A639" s="451" t="s">
        <v>1260</v>
      </c>
      <c r="B639" s="306" t="s">
        <v>7</v>
      </c>
      <c r="C639" s="354" t="s">
        <v>611</v>
      </c>
      <c r="D639" s="354" t="s">
        <v>605</v>
      </c>
      <c r="E639" s="450">
        <v>7320600000</v>
      </c>
      <c r="F639" s="450"/>
      <c r="G639" s="498">
        <f t="shared" ref="G639:J640" si="207">G640</f>
        <v>0</v>
      </c>
      <c r="H639" s="498">
        <f t="shared" si="207"/>
        <v>0</v>
      </c>
      <c r="I639" s="591">
        <f t="shared" si="207"/>
        <v>0</v>
      </c>
      <c r="J639" s="591">
        <f t="shared" si="207"/>
        <v>0</v>
      </c>
      <c r="K639" s="591">
        <f t="shared" si="204"/>
        <v>0</v>
      </c>
      <c r="L639" s="591">
        <f t="shared" si="205"/>
        <v>0</v>
      </c>
      <c r="M639" s="217">
        <f t="shared" si="195"/>
        <v>0</v>
      </c>
      <c r="N639" s="177"/>
      <c r="R639" s="591">
        <f>R640</f>
        <v>0</v>
      </c>
      <c r="S639" s="591">
        <f>S640</f>
        <v>0</v>
      </c>
      <c r="T639" s="217"/>
      <c r="U639" s="498">
        <f>U640</f>
        <v>0</v>
      </c>
      <c r="V639" s="498">
        <f>V640</f>
        <v>0</v>
      </c>
      <c r="W639" s="203"/>
      <c r="X639" s="203"/>
    </row>
    <row r="640" spans="1:24" ht="15.75" hidden="1" customHeight="1" x14ac:dyDescent="0.2">
      <c r="A640" s="581" t="s">
        <v>93</v>
      </c>
      <c r="B640" s="306" t="s">
        <v>7</v>
      </c>
      <c r="C640" s="354" t="s">
        <v>611</v>
      </c>
      <c r="D640" s="354" t="s">
        <v>605</v>
      </c>
      <c r="E640" s="450"/>
      <c r="F640" s="450"/>
      <c r="G640" s="498">
        <f t="shared" si="207"/>
        <v>0</v>
      </c>
      <c r="H640" s="498">
        <f t="shared" si="207"/>
        <v>0</v>
      </c>
      <c r="I640" s="591">
        <f t="shared" si="207"/>
        <v>0</v>
      </c>
      <c r="J640" s="591">
        <f t="shared" si="207"/>
        <v>0</v>
      </c>
      <c r="K640" s="591">
        <f t="shared" si="204"/>
        <v>0</v>
      </c>
      <c r="L640" s="591">
        <f t="shared" si="205"/>
        <v>0</v>
      </c>
      <c r="M640" s="217">
        <f t="shared" si="195"/>
        <v>0</v>
      </c>
      <c r="N640" s="177"/>
      <c r="R640" s="591">
        <f>R641</f>
        <v>0</v>
      </c>
      <c r="S640" s="591">
        <f>S641</f>
        <v>0</v>
      </c>
      <c r="T640" s="217"/>
      <c r="U640" s="498">
        <f>U641</f>
        <v>0</v>
      </c>
      <c r="V640" s="498">
        <f>V641</f>
        <v>0</v>
      </c>
      <c r="W640" s="203"/>
      <c r="X640" s="203"/>
    </row>
    <row r="641" spans="1:24" ht="15.75" hidden="1" customHeight="1" x14ac:dyDescent="0.2">
      <c r="A641" s="124" t="s">
        <v>125</v>
      </c>
      <c r="B641" s="243" t="s">
        <v>7</v>
      </c>
      <c r="C641" s="353" t="s">
        <v>611</v>
      </c>
      <c r="D641" s="353" t="s">
        <v>605</v>
      </c>
      <c r="E641" s="369"/>
      <c r="F641" s="369" t="s">
        <v>123</v>
      </c>
      <c r="G641" s="288"/>
      <c r="H641" s="288"/>
      <c r="I641" s="288"/>
      <c r="J641" s="288"/>
      <c r="K641" s="43">
        <f t="shared" si="204"/>
        <v>0</v>
      </c>
      <c r="L641" s="43">
        <f t="shared" si="205"/>
        <v>0</v>
      </c>
      <c r="M641" s="217">
        <f t="shared" si="195"/>
        <v>0</v>
      </c>
      <c r="N641" s="177"/>
      <c r="R641" s="288"/>
      <c r="S641" s="288"/>
      <c r="T641" s="217"/>
      <c r="U641" s="288"/>
      <c r="V641" s="288"/>
      <c r="W641" s="203"/>
      <c r="X641" s="203"/>
    </row>
    <row r="642" spans="1:24" ht="15.75" hidden="1" customHeight="1" x14ac:dyDescent="0.2">
      <c r="A642" s="451" t="s">
        <v>1261</v>
      </c>
      <c r="B642" s="306" t="s">
        <v>7</v>
      </c>
      <c r="C642" s="354" t="s">
        <v>611</v>
      </c>
      <c r="D642" s="354" t="s">
        <v>605</v>
      </c>
      <c r="E642" s="450">
        <v>7320700000</v>
      </c>
      <c r="F642" s="450"/>
      <c r="G642" s="498">
        <f t="shared" ref="G642:J643" si="208">G643</f>
        <v>0</v>
      </c>
      <c r="H642" s="498">
        <f t="shared" si="208"/>
        <v>0</v>
      </c>
      <c r="I642" s="591">
        <f t="shared" si="208"/>
        <v>0</v>
      </c>
      <c r="J642" s="591">
        <f t="shared" si="208"/>
        <v>0</v>
      </c>
      <c r="K642" s="591">
        <f t="shared" si="204"/>
        <v>0</v>
      </c>
      <c r="L642" s="591">
        <f t="shared" si="205"/>
        <v>0</v>
      </c>
      <c r="M642" s="217">
        <f t="shared" si="195"/>
        <v>0</v>
      </c>
      <c r="N642" s="177"/>
      <c r="R642" s="591">
        <f>R643</f>
        <v>0</v>
      </c>
      <c r="S642" s="591">
        <f>S643</f>
        <v>0</v>
      </c>
      <c r="T642" s="217"/>
      <c r="U642" s="498">
        <f>U643</f>
        <v>0</v>
      </c>
      <c r="V642" s="498">
        <f>V643</f>
        <v>0</v>
      </c>
      <c r="W642" s="203"/>
      <c r="X642" s="203"/>
    </row>
    <row r="643" spans="1:24" ht="15.75" hidden="1" customHeight="1" x14ac:dyDescent="0.2">
      <c r="A643" s="451"/>
      <c r="B643" s="306" t="s">
        <v>7</v>
      </c>
      <c r="C643" s="354" t="s">
        <v>611</v>
      </c>
      <c r="D643" s="354" t="s">
        <v>605</v>
      </c>
      <c r="E643" s="450"/>
      <c r="F643" s="450"/>
      <c r="G643" s="498">
        <f t="shared" si="208"/>
        <v>0</v>
      </c>
      <c r="H643" s="498">
        <f t="shared" si="208"/>
        <v>0</v>
      </c>
      <c r="I643" s="591">
        <f t="shared" si="208"/>
        <v>0</v>
      </c>
      <c r="J643" s="591">
        <f t="shared" si="208"/>
        <v>0</v>
      </c>
      <c r="K643" s="591">
        <f t="shared" si="204"/>
        <v>0</v>
      </c>
      <c r="L643" s="591">
        <f t="shared" si="205"/>
        <v>0</v>
      </c>
      <c r="M643" s="217">
        <f t="shared" si="195"/>
        <v>0</v>
      </c>
      <c r="N643" s="177"/>
      <c r="R643" s="591">
        <f>R644</f>
        <v>0</v>
      </c>
      <c r="S643" s="591">
        <f>S644</f>
        <v>0</v>
      </c>
      <c r="T643" s="217"/>
      <c r="U643" s="498">
        <f>U644</f>
        <v>0</v>
      </c>
      <c r="V643" s="498">
        <f>V644</f>
        <v>0</v>
      </c>
      <c r="W643" s="203"/>
      <c r="X643" s="203"/>
    </row>
    <row r="644" spans="1:24" ht="15.75" hidden="1" customHeight="1" x14ac:dyDescent="0.2">
      <c r="A644" s="124" t="s">
        <v>125</v>
      </c>
      <c r="B644" s="243" t="s">
        <v>7</v>
      </c>
      <c r="C644" s="353" t="s">
        <v>611</v>
      </c>
      <c r="D644" s="353" t="s">
        <v>605</v>
      </c>
      <c r="E644" s="369"/>
      <c r="F644" s="369" t="s">
        <v>123</v>
      </c>
      <c r="G644" s="288"/>
      <c r="H644" s="288"/>
      <c r="I644" s="288"/>
      <c r="J644" s="288"/>
      <c r="K644" s="43">
        <f t="shared" si="204"/>
        <v>0</v>
      </c>
      <c r="L644" s="43">
        <f t="shared" si="205"/>
        <v>0</v>
      </c>
      <c r="M644" s="217">
        <f t="shared" si="195"/>
        <v>0</v>
      </c>
      <c r="N644" s="177"/>
      <c r="R644" s="288"/>
      <c r="S644" s="288"/>
      <c r="T644" s="217"/>
      <c r="U644" s="288"/>
      <c r="V644" s="288"/>
      <c r="W644" s="203"/>
      <c r="X644" s="203"/>
    </row>
    <row r="645" spans="1:24" s="307" customFormat="1" ht="39" hidden="1" customHeight="1" x14ac:dyDescent="0.2">
      <c r="A645" s="451" t="s">
        <v>679</v>
      </c>
      <c r="B645" s="306" t="s">
        <v>7</v>
      </c>
      <c r="C645" s="354" t="s">
        <v>611</v>
      </c>
      <c r="D645" s="354" t="s">
        <v>605</v>
      </c>
      <c r="E645" s="450" t="s">
        <v>676</v>
      </c>
      <c r="F645" s="450"/>
      <c r="G645" s="498">
        <f t="shared" ref="G645:J647" si="209">G646</f>
        <v>0</v>
      </c>
      <c r="H645" s="498">
        <f t="shared" si="209"/>
        <v>0</v>
      </c>
      <c r="I645" s="591">
        <f t="shared" si="209"/>
        <v>0</v>
      </c>
      <c r="J645" s="591">
        <f t="shared" si="209"/>
        <v>0</v>
      </c>
      <c r="K645" s="591">
        <f t="shared" si="204"/>
        <v>0</v>
      </c>
      <c r="L645" s="591">
        <f t="shared" si="205"/>
        <v>0</v>
      </c>
      <c r="M645" s="217">
        <f t="shared" si="195"/>
        <v>0</v>
      </c>
      <c r="N645" s="292">
        <f>N646</f>
        <v>10</v>
      </c>
      <c r="P645" s="326">
        <f>K602+K581+K751</f>
        <v>2937.4922900000001</v>
      </c>
      <c r="Q645" s="326"/>
      <c r="R645" s="591">
        <f t="shared" ref="R645:S647" si="210">R646</f>
        <v>0</v>
      </c>
      <c r="S645" s="591">
        <f t="shared" si="210"/>
        <v>0</v>
      </c>
      <c r="T645" s="309">
        <f>I645-G645</f>
        <v>0</v>
      </c>
      <c r="U645" s="498">
        <f t="shared" ref="U645:V647" si="211">U646</f>
        <v>0</v>
      </c>
      <c r="V645" s="498">
        <f t="shared" si="211"/>
        <v>0</v>
      </c>
      <c r="W645" s="310">
        <f>G645-I645</f>
        <v>0</v>
      </c>
      <c r="X645" s="310">
        <f>K645+W645</f>
        <v>0</v>
      </c>
    </row>
    <row r="646" spans="1:24" s="307" customFormat="1" ht="106.5" hidden="1" customHeight="1" x14ac:dyDescent="0.2">
      <c r="A646" s="451" t="s">
        <v>1194</v>
      </c>
      <c r="B646" s="306" t="s">
        <v>7</v>
      </c>
      <c r="C646" s="354" t="s">
        <v>611</v>
      </c>
      <c r="D646" s="354" t="s">
        <v>605</v>
      </c>
      <c r="E646" s="450" t="s">
        <v>681</v>
      </c>
      <c r="F646" s="450"/>
      <c r="G646" s="498">
        <f t="shared" si="209"/>
        <v>0</v>
      </c>
      <c r="H646" s="498">
        <f t="shared" si="209"/>
        <v>0</v>
      </c>
      <c r="I646" s="591">
        <f t="shared" si="209"/>
        <v>0</v>
      </c>
      <c r="J646" s="591">
        <f t="shared" si="209"/>
        <v>0</v>
      </c>
      <c r="K646" s="591">
        <f t="shared" si="204"/>
        <v>0</v>
      </c>
      <c r="L646" s="591">
        <f t="shared" si="205"/>
        <v>0</v>
      </c>
      <c r="M646" s="217">
        <f t="shared" si="195"/>
        <v>0</v>
      </c>
      <c r="N646" s="292">
        <f>N647</f>
        <v>10</v>
      </c>
      <c r="R646" s="591">
        <f t="shared" si="210"/>
        <v>0</v>
      </c>
      <c r="S646" s="591">
        <f t="shared" si="210"/>
        <v>0</v>
      </c>
      <c r="T646" s="309">
        <f>I646-G646</f>
        <v>0</v>
      </c>
      <c r="U646" s="498">
        <f t="shared" si="211"/>
        <v>0</v>
      </c>
      <c r="V646" s="498">
        <f t="shared" si="211"/>
        <v>0</v>
      </c>
      <c r="W646" s="310">
        <f>G646-I646</f>
        <v>0</v>
      </c>
      <c r="X646" s="310">
        <f>K646+W646</f>
        <v>0</v>
      </c>
    </row>
    <row r="647" spans="1:24" s="307" customFormat="1" ht="91.5" hidden="1" customHeight="1" x14ac:dyDescent="0.2">
      <c r="A647" s="451" t="s">
        <v>1024</v>
      </c>
      <c r="B647" s="306" t="s">
        <v>7</v>
      </c>
      <c r="C647" s="354" t="s">
        <v>611</v>
      </c>
      <c r="D647" s="354" t="s">
        <v>605</v>
      </c>
      <c r="E647" s="450" t="s">
        <v>1029</v>
      </c>
      <c r="F647" s="450"/>
      <c r="G647" s="498">
        <f t="shared" si="209"/>
        <v>0</v>
      </c>
      <c r="H647" s="498">
        <f t="shared" si="209"/>
        <v>0</v>
      </c>
      <c r="I647" s="591">
        <f t="shared" si="209"/>
        <v>0</v>
      </c>
      <c r="J647" s="591">
        <f t="shared" si="209"/>
        <v>0</v>
      </c>
      <c r="K647" s="591">
        <f t="shared" si="204"/>
        <v>0</v>
      </c>
      <c r="L647" s="591">
        <f t="shared" si="205"/>
        <v>0</v>
      </c>
      <c r="M647" s="217">
        <f t="shared" si="195"/>
        <v>0</v>
      </c>
      <c r="N647" s="292">
        <f>N648</f>
        <v>10</v>
      </c>
      <c r="R647" s="591">
        <f t="shared" si="210"/>
        <v>0</v>
      </c>
      <c r="S647" s="591">
        <f t="shared" si="210"/>
        <v>0</v>
      </c>
      <c r="T647" s="309">
        <f>I647-G647</f>
        <v>0</v>
      </c>
      <c r="U647" s="498">
        <f t="shared" si="211"/>
        <v>0</v>
      </c>
      <c r="V647" s="498">
        <f t="shared" si="211"/>
        <v>0</v>
      </c>
      <c r="W647" s="310">
        <f>G647-I647</f>
        <v>0</v>
      </c>
      <c r="X647" s="310">
        <f>K647+W647</f>
        <v>0</v>
      </c>
    </row>
    <row r="648" spans="1:24" ht="15" hidden="1" customHeight="1" x14ac:dyDescent="0.2">
      <c r="A648" s="124" t="s">
        <v>125</v>
      </c>
      <c r="B648" s="243" t="s">
        <v>7</v>
      </c>
      <c r="C648" s="353" t="s">
        <v>611</v>
      </c>
      <c r="D648" s="353" t="s">
        <v>605</v>
      </c>
      <c r="E648" s="369" t="s">
        <v>1029</v>
      </c>
      <c r="F648" s="369" t="s">
        <v>123</v>
      </c>
      <c r="G648" s="288"/>
      <c r="H648" s="288"/>
      <c r="I648" s="288"/>
      <c r="J648" s="288"/>
      <c r="K648" s="43">
        <f t="shared" si="204"/>
        <v>0</v>
      </c>
      <c r="L648" s="43">
        <f t="shared" si="205"/>
        <v>0</v>
      </c>
      <c r="M648" s="217">
        <f t="shared" si="195"/>
        <v>0</v>
      </c>
      <c r="N648" s="43">
        <v>10</v>
      </c>
      <c r="R648" s="288"/>
      <c r="S648" s="288"/>
      <c r="T648" s="217">
        <f>I648-G648</f>
        <v>0</v>
      </c>
      <c r="U648" s="288"/>
      <c r="V648" s="288"/>
      <c r="W648" s="203">
        <f>G648-I648</f>
        <v>0</v>
      </c>
      <c r="X648" s="203">
        <f>K648+W648</f>
        <v>0</v>
      </c>
    </row>
    <row r="649" spans="1:24" ht="15" hidden="1" customHeight="1" x14ac:dyDescent="0.2">
      <c r="A649" s="133" t="s">
        <v>1989</v>
      </c>
      <c r="B649" s="388" t="s">
        <v>7</v>
      </c>
      <c r="C649" s="389" t="s">
        <v>611</v>
      </c>
      <c r="D649" s="389" t="s">
        <v>605</v>
      </c>
      <c r="E649" s="515" t="s">
        <v>1988</v>
      </c>
      <c r="F649" s="390"/>
      <c r="G649" s="391">
        <f>G650</f>
        <v>107</v>
      </c>
      <c r="H649" s="391">
        <f t="shared" ref="H649:L649" si="212">H650</f>
        <v>0</v>
      </c>
      <c r="I649" s="391">
        <f t="shared" si="212"/>
        <v>0</v>
      </c>
      <c r="J649" s="391">
        <f t="shared" si="212"/>
        <v>0</v>
      </c>
      <c r="K649" s="391">
        <f t="shared" si="212"/>
        <v>-107</v>
      </c>
      <c r="L649" s="391">
        <f t="shared" si="212"/>
        <v>0</v>
      </c>
      <c r="M649" s="217"/>
      <c r="N649" s="43"/>
      <c r="R649" s="288"/>
      <c r="S649" s="288"/>
      <c r="T649" s="217"/>
      <c r="U649" s="288"/>
      <c r="V649" s="288"/>
      <c r="W649" s="203"/>
      <c r="X649" s="203"/>
    </row>
    <row r="650" spans="1:24" ht="15" hidden="1" customHeight="1" x14ac:dyDescent="0.2">
      <c r="A650" s="186" t="s">
        <v>164</v>
      </c>
      <c r="B650" s="243" t="s">
        <v>7</v>
      </c>
      <c r="C650" s="353" t="s">
        <v>611</v>
      </c>
      <c r="D650" s="353" t="s">
        <v>605</v>
      </c>
      <c r="E650" s="386" t="s">
        <v>1988</v>
      </c>
      <c r="F650" s="369">
        <v>540</v>
      </c>
      <c r="G650" s="288">
        <v>107</v>
      </c>
      <c r="H650" s="288"/>
      <c r="I650" s="288">
        <v>0</v>
      </c>
      <c r="J650" s="288"/>
      <c r="K650" s="255">
        <f t="shared" ref="K650" si="213">I650-G650</f>
        <v>-107</v>
      </c>
      <c r="L650" s="43">
        <f t="shared" ref="L650" si="214">J650-H650</f>
        <v>0</v>
      </c>
      <c r="M650" s="217"/>
      <c r="N650" s="43"/>
      <c r="R650" s="288"/>
      <c r="S650" s="288"/>
      <c r="T650" s="217"/>
      <c r="U650" s="288"/>
      <c r="V650" s="288"/>
      <c r="W650" s="203"/>
      <c r="X650" s="203"/>
    </row>
    <row r="651" spans="1:24" ht="25.5" x14ac:dyDescent="0.2">
      <c r="A651" s="741" t="s">
        <v>1511</v>
      </c>
      <c r="B651" s="388" t="s">
        <v>7</v>
      </c>
      <c r="C651" s="389" t="s">
        <v>611</v>
      </c>
      <c r="D651" s="389" t="s">
        <v>605</v>
      </c>
      <c r="E651" s="515" t="s">
        <v>1505</v>
      </c>
      <c r="F651" s="390"/>
      <c r="G651" s="391">
        <f>G652+G655+G658+G665</f>
        <v>105</v>
      </c>
      <c r="H651" s="391">
        <f>H652+H655+H658+H665</f>
        <v>0</v>
      </c>
      <c r="I651" s="391">
        <f>I652+I655+I658+I665</f>
        <v>155</v>
      </c>
      <c r="J651" s="391">
        <f>J652+J655+J658+J665</f>
        <v>0</v>
      </c>
      <c r="K651" s="391">
        <f t="shared" si="204"/>
        <v>50</v>
      </c>
      <c r="L651" s="391">
        <f t="shared" si="205"/>
        <v>0</v>
      </c>
      <c r="M651" s="217"/>
      <c r="N651" s="43"/>
      <c r="R651" s="391">
        <f>R652+R655+R658+R665</f>
        <v>439</v>
      </c>
      <c r="S651" s="391">
        <f>S652+S655+S658+S665</f>
        <v>0</v>
      </c>
      <c r="T651" s="217"/>
      <c r="U651" s="288"/>
      <c r="V651" s="288"/>
      <c r="W651" s="203"/>
      <c r="X651" s="203"/>
    </row>
    <row r="652" spans="1:24" ht="15" hidden="1" x14ac:dyDescent="0.2">
      <c r="A652" s="121" t="s">
        <v>1537</v>
      </c>
      <c r="B652" s="388" t="s">
        <v>7</v>
      </c>
      <c r="C652" s="389" t="s">
        <v>611</v>
      </c>
      <c r="D652" s="389" t="s">
        <v>605</v>
      </c>
      <c r="E652" s="515" t="s">
        <v>1506</v>
      </c>
      <c r="F652" s="390"/>
      <c r="G652" s="391">
        <f t="shared" ref="G652:J653" si="215">G653</f>
        <v>0</v>
      </c>
      <c r="H652" s="391">
        <f t="shared" si="215"/>
        <v>0</v>
      </c>
      <c r="I652" s="391">
        <f t="shared" si="215"/>
        <v>0</v>
      </c>
      <c r="J652" s="391">
        <f t="shared" si="215"/>
        <v>0</v>
      </c>
      <c r="K652" s="391">
        <f t="shared" si="204"/>
        <v>0</v>
      </c>
      <c r="L652" s="391">
        <f t="shared" si="205"/>
        <v>0</v>
      </c>
      <c r="M652" s="217"/>
      <c r="N652" s="43"/>
      <c r="R652" s="391">
        <f>R653</f>
        <v>0</v>
      </c>
      <c r="S652" s="391">
        <f>S653</f>
        <v>0</v>
      </c>
      <c r="T652" s="217"/>
      <c r="U652" s="288"/>
      <c r="V652" s="288"/>
      <c r="W652" s="203"/>
      <c r="X652" s="203"/>
    </row>
    <row r="653" spans="1:24" ht="15" hidden="1" x14ac:dyDescent="0.2">
      <c r="A653" s="121" t="s">
        <v>1538</v>
      </c>
      <c r="B653" s="388" t="s">
        <v>7</v>
      </c>
      <c r="C653" s="389" t="s">
        <v>611</v>
      </c>
      <c r="D653" s="389" t="s">
        <v>605</v>
      </c>
      <c r="E653" s="515" t="s">
        <v>1507</v>
      </c>
      <c r="F653" s="390"/>
      <c r="G653" s="391">
        <f t="shared" si="215"/>
        <v>0</v>
      </c>
      <c r="H653" s="391">
        <f t="shared" si="215"/>
        <v>0</v>
      </c>
      <c r="I653" s="391">
        <f t="shared" si="215"/>
        <v>0</v>
      </c>
      <c r="J653" s="391">
        <f t="shared" si="215"/>
        <v>0</v>
      </c>
      <c r="K653" s="391">
        <f t="shared" si="204"/>
        <v>0</v>
      </c>
      <c r="L653" s="391">
        <f t="shared" si="205"/>
        <v>0</v>
      </c>
      <c r="M653" s="217"/>
      <c r="N653" s="43"/>
      <c r="R653" s="391">
        <f>R654</f>
        <v>0</v>
      </c>
      <c r="S653" s="391">
        <f>S654</f>
        <v>0</v>
      </c>
      <c r="T653" s="217"/>
      <c r="U653" s="288"/>
      <c r="V653" s="288"/>
      <c r="W653" s="203"/>
      <c r="X653" s="203"/>
    </row>
    <row r="654" spans="1:24" ht="25.5" hidden="1" x14ac:dyDescent="0.2">
      <c r="A654" s="124" t="s">
        <v>1539</v>
      </c>
      <c r="B654" s="243" t="s">
        <v>7</v>
      </c>
      <c r="C654" s="353" t="s">
        <v>611</v>
      </c>
      <c r="D654" s="353" t="s">
        <v>605</v>
      </c>
      <c r="E654" s="369" t="s">
        <v>1507</v>
      </c>
      <c r="F654" s="369">
        <v>611</v>
      </c>
      <c r="G654" s="288">
        <v>0</v>
      </c>
      <c r="H654" s="288"/>
      <c r="I654" s="288">
        <v>0</v>
      </c>
      <c r="J654" s="288"/>
      <c r="K654" s="43">
        <f t="shared" si="204"/>
        <v>0</v>
      </c>
      <c r="L654" s="43">
        <f t="shared" si="205"/>
        <v>0</v>
      </c>
      <c r="M654" s="217"/>
      <c r="N654" s="43"/>
      <c r="R654" s="288">
        <v>0</v>
      </c>
      <c r="S654" s="288">
        <v>0</v>
      </c>
      <c r="T654" s="217"/>
      <c r="U654" s="288"/>
      <c r="V654" s="288"/>
      <c r="W654" s="203"/>
      <c r="X654" s="203"/>
    </row>
    <row r="655" spans="1:24" ht="15" hidden="1" x14ac:dyDescent="0.2">
      <c r="A655" s="133" t="s">
        <v>1775</v>
      </c>
      <c r="B655" s="388" t="s">
        <v>7</v>
      </c>
      <c r="C655" s="389" t="s">
        <v>611</v>
      </c>
      <c r="D655" s="389" t="s">
        <v>605</v>
      </c>
      <c r="E655" s="515" t="s">
        <v>1533</v>
      </c>
      <c r="F655" s="390"/>
      <c r="G655" s="391">
        <f t="shared" ref="G655:J656" si="216">G656</f>
        <v>0</v>
      </c>
      <c r="H655" s="391">
        <f t="shared" si="216"/>
        <v>0</v>
      </c>
      <c r="I655" s="391">
        <f t="shared" si="216"/>
        <v>0</v>
      </c>
      <c r="J655" s="391">
        <f t="shared" si="216"/>
        <v>0</v>
      </c>
      <c r="K655" s="391">
        <f t="shared" si="204"/>
        <v>0</v>
      </c>
      <c r="L655" s="391">
        <f t="shared" si="205"/>
        <v>0</v>
      </c>
      <c r="M655" s="217"/>
      <c r="N655" s="43"/>
      <c r="R655" s="391">
        <f>R656</f>
        <v>0</v>
      </c>
      <c r="S655" s="391">
        <f>S656</f>
        <v>0</v>
      </c>
      <c r="T655" s="217"/>
      <c r="U655" s="288"/>
      <c r="V655" s="288"/>
      <c r="W655" s="203"/>
      <c r="X655" s="203"/>
    </row>
    <row r="656" spans="1:24" ht="15" hidden="1" x14ac:dyDescent="0.2">
      <c r="A656" s="133" t="s">
        <v>1513</v>
      </c>
      <c r="B656" s="388" t="s">
        <v>7</v>
      </c>
      <c r="C656" s="389" t="s">
        <v>611</v>
      </c>
      <c r="D656" s="389" t="s">
        <v>605</v>
      </c>
      <c r="E656" s="515" t="s">
        <v>1534</v>
      </c>
      <c r="F656" s="390"/>
      <c r="G656" s="391">
        <f t="shared" si="216"/>
        <v>0</v>
      </c>
      <c r="H656" s="391">
        <f t="shared" si="216"/>
        <v>0</v>
      </c>
      <c r="I656" s="391">
        <f t="shared" si="216"/>
        <v>0</v>
      </c>
      <c r="J656" s="391">
        <f t="shared" si="216"/>
        <v>0</v>
      </c>
      <c r="K656" s="391">
        <f t="shared" si="204"/>
        <v>0</v>
      </c>
      <c r="L656" s="391">
        <f t="shared" si="205"/>
        <v>0</v>
      </c>
      <c r="M656" s="217"/>
      <c r="N656" s="43"/>
      <c r="R656" s="391">
        <f>R657</f>
        <v>0</v>
      </c>
      <c r="S656" s="391">
        <f>S657</f>
        <v>0</v>
      </c>
      <c r="T656" s="217"/>
      <c r="U656" s="288"/>
      <c r="V656" s="288"/>
      <c r="W656" s="203"/>
      <c r="X656" s="203"/>
    </row>
    <row r="657" spans="1:24" ht="15" hidden="1" x14ac:dyDescent="0.2">
      <c r="A657" s="186" t="s">
        <v>125</v>
      </c>
      <c r="B657" s="243" t="s">
        <v>7</v>
      </c>
      <c r="C657" s="353" t="s">
        <v>611</v>
      </c>
      <c r="D657" s="353" t="s">
        <v>605</v>
      </c>
      <c r="E657" s="386" t="s">
        <v>1534</v>
      </c>
      <c r="F657" s="369">
        <v>612</v>
      </c>
      <c r="G657" s="288"/>
      <c r="H657" s="288"/>
      <c r="I657" s="288"/>
      <c r="J657" s="288"/>
      <c r="K657" s="43">
        <f t="shared" si="204"/>
        <v>0</v>
      </c>
      <c r="L657" s="43">
        <f t="shared" si="205"/>
        <v>0</v>
      </c>
      <c r="M657" s="217"/>
      <c r="N657" s="43"/>
      <c r="R657" s="288">
        <v>0</v>
      </c>
      <c r="S657" s="288">
        <v>0</v>
      </c>
      <c r="T657" s="217"/>
      <c r="U657" s="288"/>
      <c r="V657" s="288"/>
      <c r="W657" s="203"/>
      <c r="X657" s="203"/>
    </row>
    <row r="658" spans="1:24" ht="15" x14ac:dyDescent="0.2">
      <c r="A658" s="741" t="s">
        <v>1515</v>
      </c>
      <c r="B658" s="388" t="s">
        <v>7</v>
      </c>
      <c r="C658" s="389" t="s">
        <v>611</v>
      </c>
      <c r="D658" s="389" t="s">
        <v>605</v>
      </c>
      <c r="E658" s="515" t="s">
        <v>1508</v>
      </c>
      <c r="F658" s="390"/>
      <c r="G658" s="391">
        <f>G659+G663+G661</f>
        <v>105</v>
      </c>
      <c r="H658" s="391">
        <f>H659+H663+H661</f>
        <v>0</v>
      </c>
      <c r="I658" s="391">
        <f>I659+I663+I661</f>
        <v>155</v>
      </c>
      <c r="J658" s="391">
        <f>J659+J663+J661</f>
        <v>0</v>
      </c>
      <c r="K658" s="391">
        <f t="shared" si="204"/>
        <v>50</v>
      </c>
      <c r="L658" s="391">
        <f t="shared" si="205"/>
        <v>0</v>
      </c>
      <c r="M658" s="217"/>
      <c r="N658" s="43"/>
      <c r="R658" s="391">
        <f>R659+R663+R661</f>
        <v>439</v>
      </c>
      <c r="S658" s="391">
        <f>S659+S663+S661</f>
        <v>0</v>
      </c>
      <c r="T658" s="217"/>
      <c r="U658" s="288"/>
      <c r="V658" s="288"/>
      <c r="W658" s="203"/>
      <c r="X658" s="203"/>
    </row>
    <row r="659" spans="1:24" ht="15" x14ac:dyDescent="0.2">
      <c r="A659" s="741" t="s">
        <v>1513</v>
      </c>
      <c r="B659" s="388" t="s">
        <v>7</v>
      </c>
      <c r="C659" s="389" t="s">
        <v>611</v>
      </c>
      <c r="D659" s="389" t="s">
        <v>605</v>
      </c>
      <c r="E659" s="515" t="s">
        <v>1509</v>
      </c>
      <c r="F659" s="390"/>
      <c r="G659" s="391">
        <f>G660</f>
        <v>105</v>
      </c>
      <c r="H659" s="391">
        <f>H660</f>
        <v>0</v>
      </c>
      <c r="I659" s="391">
        <f>I660</f>
        <v>105</v>
      </c>
      <c r="J659" s="391">
        <f>J660</f>
        <v>0</v>
      </c>
      <c r="K659" s="391">
        <f t="shared" si="204"/>
        <v>0</v>
      </c>
      <c r="L659" s="391">
        <f t="shared" si="205"/>
        <v>0</v>
      </c>
      <c r="M659" s="217"/>
      <c r="N659" s="43"/>
      <c r="R659" s="391">
        <f t="shared" ref="R659:S661" si="217">R660</f>
        <v>200</v>
      </c>
      <c r="S659" s="391">
        <f t="shared" si="217"/>
        <v>0</v>
      </c>
      <c r="T659" s="217"/>
      <c r="U659" s="288"/>
      <c r="V659" s="288"/>
      <c r="W659" s="203"/>
      <c r="X659" s="203"/>
    </row>
    <row r="660" spans="1:24" ht="25.5" x14ac:dyDescent="0.2">
      <c r="A660" s="744" t="s">
        <v>648</v>
      </c>
      <c r="B660" s="243" t="s">
        <v>7</v>
      </c>
      <c r="C660" s="353" t="s">
        <v>611</v>
      </c>
      <c r="D660" s="353" t="s">
        <v>605</v>
      </c>
      <c r="E660" s="386" t="s">
        <v>1509</v>
      </c>
      <c r="F660" s="369">
        <v>611</v>
      </c>
      <c r="G660" s="288">
        <v>105</v>
      </c>
      <c r="H660" s="288"/>
      <c r="I660" s="288">
        <v>105</v>
      </c>
      <c r="J660" s="288"/>
      <c r="K660" s="43">
        <f t="shared" si="204"/>
        <v>0</v>
      </c>
      <c r="L660" s="43">
        <f t="shared" si="205"/>
        <v>0</v>
      </c>
      <c r="M660" s="217"/>
      <c r="N660" s="43"/>
      <c r="R660" s="288">
        <v>200</v>
      </c>
      <c r="S660" s="288">
        <v>0</v>
      </c>
      <c r="T660" s="217"/>
      <c r="U660" s="288"/>
      <c r="V660" s="288"/>
      <c r="W660" s="203"/>
      <c r="X660" s="203"/>
    </row>
    <row r="661" spans="1:24" ht="15" x14ac:dyDescent="0.2">
      <c r="A661" s="742" t="s">
        <v>1654</v>
      </c>
      <c r="B661" s="388" t="s">
        <v>7</v>
      </c>
      <c r="C661" s="389" t="s">
        <v>611</v>
      </c>
      <c r="D661" s="389" t="s">
        <v>605</v>
      </c>
      <c r="E661" s="515" t="s">
        <v>1657</v>
      </c>
      <c r="F661" s="390"/>
      <c r="G661" s="391">
        <f>G662</f>
        <v>0</v>
      </c>
      <c r="H661" s="391">
        <f>H662</f>
        <v>0</v>
      </c>
      <c r="I661" s="391">
        <f>I662</f>
        <v>50</v>
      </c>
      <c r="J661" s="391">
        <f>J662</f>
        <v>0</v>
      </c>
      <c r="K661" s="391">
        <f t="shared" si="204"/>
        <v>50</v>
      </c>
      <c r="L661" s="391">
        <f t="shared" si="205"/>
        <v>0</v>
      </c>
      <c r="M661" s="217"/>
      <c r="N661" s="43"/>
      <c r="R661" s="391">
        <f t="shared" si="217"/>
        <v>239</v>
      </c>
      <c r="S661" s="391">
        <f t="shared" si="217"/>
        <v>0</v>
      </c>
      <c r="T661" s="217"/>
      <c r="U661" s="288"/>
      <c r="V661" s="288"/>
      <c r="W661" s="203"/>
      <c r="X661" s="203"/>
    </row>
    <row r="662" spans="1:24" ht="15" x14ac:dyDescent="0.2">
      <c r="A662" s="739" t="s">
        <v>1542</v>
      </c>
      <c r="B662" s="243" t="s">
        <v>7</v>
      </c>
      <c r="C662" s="353" t="s">
        <v>611</v>
      </c>
      <c r="D662" s="353" t="s">
        <v>605</v>
      </c>
      <c r="E662" s="386" t="s">
        <v>1657</v>
      </c>
      <c r="F662" s="369">
        <v>612</v>
      </c>
      <c r="G662" s="288"/>
      <c r="H662" s="288"/>
      <c r="I662" s="288">
        <v>50</v>
      </c>
      <c r="J662" s="288"/>
      <c r="K662" s="43">
        <f t="shared" si="204"/>
        <v>50</v>
      </c>
      <c r="L662" s="43">
        <f t="shared" si="205"/>
        <v>0</v>
      </c>
      <c r="M662" s="217"/>
      <c r="N662" s="43"/>
      <c r="R662" s="288">
        <v>239</v>
      </c>
      <c r="S662" s="288">
        <v>0</v>
      </c>
      <c r="T662" s="217"/>
      <c r="U662" s="288"/>
      <c r="V662" s="288"/>
      <c r="W662" s="203"/>
      <c r="X662" s="203"/>
    </row>
    <row r="663" spans="1:24" ht="15" hidden="1" x14ac:dyDescent="0.2">
      <c r="A663" s="121" t="s">
        <v>1538</v>
      </c>
      <c r="B663" s="388" t="s">
        <v>7</v>
      </c>
      <c r="C663" s="389" t="s">
        <v>611</v>
      </c>
      <c r="D663" s="389" t="s">
        <v>605</v>
      </c>
      <c r="E663" s="515" t="s">
        <v>1509</v>
      </c>
      <c r="F663" s="390"/>
      <c r="G663" s="391">
        <f>G664</f>
        <v>0</v>
      </c>
      <c r="H663" s="391">
        <f>H664</f>
        <v>0</v>
      </c>
      <c r="I663" s="391">
        <f>I664</f>
        <v>0</v>
      </c>
      <c r="J663" s="391">
        <f>J664</f>
        <v>0</v>
      </c>
      <c r="K663" s="391">
        <f t="shared" si="204"/>
        <v>0</v>
      </c>
      <c r="L663" s="391">
        <f t="shared" si="205"/>
        <v>0</v>
      </c>
      <c r="M663" s="217"/>
      <c r="N663" s="43"/>
      <c r="R663" s="391">
        <f>R664</f>
        <v>0</v>
      </c>
      <c r="S663" s="391">
        <f>S664</f>
        <v>0</v>
      </c>
      <c r="T663" s="217"/>
      <c r="U663" s="288"/>
      <c r="V663" s="288"/>
      <c r="W663" s="203"/>
      <c r="X663" s="203"/>
    </row>
    <row r="664" spans="1:24" ht="25.5" hidden="1" x14ac:dyDescent="0.2">
      <c r="A664" s="124" t="s">
        <v>1539</v>
      </c>
      <c r="B664" s="243" t="s">
        <v>7</v>
      </c>
      <c r="C664" s="353" t="s">
        <v>611</v>
      </c>
      <c r="D664" s="353" t="s">
        <v>605</v>
      </c>
      <c r="E664" s="386" t="s">
        <v>1509</v>
      </c>
      <c r="F664" s="369">
        <v>611</v>
      </c>
      <c r="G664" s="288">
        <v>0</v>
      </c>
      <c r="H664" s="288"/>
      <c r="I664" s="288">
        <v>0</v>
      </c>
      <c r="J664" s="288"/>
      <c r="K664" s="43">
        <f t="shared" si="204"/>
        <v>0</v>
      </c>
      <c r="L664" s="43">
        <f t="shared" si="205"/>
        <v>0</v>
      </c>
      <c r="M664" s="217"/>
      <c r="N664" s="43"/>
      <c r="R664" s="288">
        <v>0</v>
      </c>
      <c r="S664" s="288">
        <v>0</v>
      </c>
      <c r="T664" s="217"/>
      <c r="U664" s="288"/>
      <c r="V664" s="288"/>
      <c r="W664" s="203"/>
      <c r="X664" s="203"/>
    </row>
    <row r="665" spans="1:24" ht="15" hidden="1" x14ac:dyDescent="0.2">
      <c r="A665" s="133" t="s">
        <v>1774</v>
      </c>
      <c r="B665" s="388" t="s">
        <v>7</v>
      </c>
      <c r="C665" s="389" t="s">
        <v>611</v>
      </c>
      <c r="D665" s="389" t="s">
        <v>605</v>
      </c>
      <c r="E665" s="515" t="s">
        <v>1535</v>
      </c>
      <c r="F665" s="390"/>
      <c r="G665" s="391">
        <f t="shared" ref="G665:J666" si="218">G666</f>
        <v>0</v>
      </c>
      <c r="H665" s="391">
        <f t="shared" si="218"/>
        <v>0</v>
      </c>
      <c r="I665" s="391">
        <f t="shared" si="218"/>
        <v>0</v>
      </c>
      <c r="J665" s="391">
        <f t="shared" si="218"/>
        <v>0</v>
      </c>
      <c r="K665" s="391">
        <f t="shared" si="204"/>
        <v>0</v>
      </c>
      <c r="L665" s="391">
        <f t="shared" si="205"/>
        <v>0</v>
      </c>
      <c r="M665" s="217"/>
      <c r="N665" s="43"/>
      <c r="R665" s="391">
        <f>R666</f>
        <v>0</v>
      </c>
      <c r="S665" s="391">
        <f>S666</f>
        <v>0</v>
      </c>
      <c r="T665" s="217"/>
      <c r="U665" s="288"/>
      <c r="V665" s="288"/>
      <c r="W665" s="203"/>
      <c r="X665" s="203"/>
    </row>
    <row r="666" spans="1:24" ht="15" hidden="1" x14ac:dyDescent="0.2">
      <c r="A666" s="133" t="s">
        <v>1513</v>
      </c>
      <c r="B666" s="388" t="s">
        <v>7</v>
      </c>
      <c r="C666" s="389" t="s">
        <v>611</v>
      </c>
      <c r="D666" s="389" t="s">
        <v>605</v>
      </c>
      <c r="E666" s="515" t="s">
        <v>1557</v>
      </c>
      <c r="F666" s="390"/>
      <c r="G666" s="391">
        <f t="shared" si="218"/>
        <v>0</v>
      </c>
      <c r="H666" s="391">
        <f t="shared" si="218"/>
        <v>0</v>
      </c>
      <c r="I666" s="391">
        <f t="shared" si="218"/>
        <v>0</v>
      </c>
      <c r="J666" s="391">
        <f t="shared" si="218"/>
        <v>0</v>
      </c>
      <c r="K666" s="391">
        <f t="shared" si="204"/>
        <v>0</v>
      </c>
      <c r="L666" s="391">
        <f t="shared" si="205"/>
        <v>0</v>
      </c>
      <c r="M666" s="217"/>
      <c r="N666" s="43"/>
      <c r="R666" s="391">
        <f>R667</f>
        <v>0</v>
      </c>
      <c r="S666" s="391">
        <f>S667</f>
        <v>0</v>
      </c>
      <c r="T666" s="217"/>
      <c r="U666" s="288"/>
      <c r="V666" s="288"/>
      <c r="W666" s="203"/>
      <c r="X666" s="203"/>
    </row>
    <row r="667" spans="1:24" ht="15" hidden="1" x14ac:dyDescent="0.2">
      <c r="A667" s="186" t="s">
        <v>125</v>
      </c>
      <c r="B667" s="243" t="s">
        <v>7</v>
      </c>
      <c r="C667" s="353" t="s">
        <v>611</v>
      </c>
      <c r="D667" s="353" t="s">
        <v>605</v>
      </c>
      <c r="E667" s="386" t="s">
        <v>1557</v>
      </c>
      <c r="F667" s="369">
        <v>612</v>
      </c>
      <c r="G667" s="288"/>
      <c r="H667" s="288"/>
      <c r="I667" s="288"/>
      <c r="J667" s="288"/>
      <c r="K667" s="43">
        <f t="shared" si="204"/>
        <v>0</v>
      </c>
      <c r="L667" s="43">
        <f t="shared" si="205"/>
        <v>0</v>
      </c>
      <c r="M667" s="217"/>
      <c r="N667" s="43"/>
      <c r="R667" s="288">
        <v>0</v>
      </c>
      <c r="S667" s="288">
        <v>0</v>
      </c>
      <c r="T667" s="217"/>
      <c r="U667" s="288"/>
      <c r="V667" s="288"/>
      <c r="W667" s="203"/>
      <c r="X667" s="203"/>
    </row>
    <row r="668" spans="1:24" s="307" customFormat="1" ht="25.5" x14ac:dyDescent="0.2">
      <c r="A668" s="746" t="s">
        <v>1297</v>
      </c>
      <c r="B668" s="306" t="s">
        <v>7</v>
      </c>
      <c r="C668" s="354" t="s">
        <v>611</v>
      </c>
      <c r="D668" s="354" t="s">
        <v>605</v>
      </c>
      <c r="E668" s="450" t="s">
        <v>729</v>
      </c>
      <c r="F668" s="450"/>
      <c r="G668" s="591">
        <f t="shared" ref="G668:J670" si="219">G669</f>
        <v>10</v>
      </c>
      <c r="H668" s="591">
        <f t="shared" si="219"/>
        <v>0</v>
      </c>
      <c r="I668" s="591">
        <f t="shared" si="219"/>
        <v>10</v>
      </c>
      <c r="J668" s="591">
        <f t="shared" si="219"/>
        <v>0</v>
      </c>
      <c r="K668" s="591">
        <f t="shared" si="204"/>
        <v>0</v>
      </c>
      <c r="L668" s="591">
        <f t="shared" si="205"/>
        <v>0</v>
      </c>
      <c r="M668" s="217">
        <f t="shared" si="195"/>
        <v>0</v>
      </c>
      <c r="N668" s="292" t="e">
        <f>#REF!+#REF!+N669</f>
        <v>#REF!</v>
      </c>
      <c r="R668" s="591">
        <f t="shared" ref="R668:S670" si="220">R669</f>
        <v>10</v>
      </c>
      <c r="S668" s="591">
        <f t="shared" si="220"/>
        <v>0</v>
      </c>
      <c r="T668" s="309">
        <f>I668-G668</f>
        <v>0</v>
      </c>
      <c r="U668" s="498">
        <f t="shared" ref="U668:V670" si="221">U669</f>
        <v>10</v>
      </c>
      <c r="V668" s="498">
        <f t="shared" si="221"/>
        <v>0</v>
      </c>
      <c r="W668" s="310">
        <f>G668-I668</f>
        <v>0</v>
      </c>
      <c r="X668" s="310">
        <f>K668+W668</f>
        <v>0</v>
      </c>
    </row>
    <row r="669" spans="1:24" s="307" customFormat="1" ht="25.5" x14ac:dyDescent="0.2">
      <c r="A669" s="746" t="s">
        <v>518</v>
      </c>
      <c r="B669" s="306" t="s">
        <v>7</v>
      </c>
      <c r="C669" s="354" t="s">
        <v>611</v>
      </c>
      <c r="D669" s="354" t="s">
        <v>605</v>
      </c>
      <c r="E669" s="450" t="s">
        <v>751</v>
      </c>
      <c r="F669" s="450"/>
      <c r="G669" s="591">
        <f t="shared" si="219"/>
        <v>10</v>
      </c>
      <c r="H669" s="591">
        <f t="shared" si="219"/>
        <v>0</v>
      </c>
      <c r="I669" s="591">
        <f t="shared" si="219"/>
        <v>10</v>
      </c>
      <c r="J669" s="591">
        <f t="shared" si="219"/>
        <v>0</v>
      </c>
      <c r="K669" s="591">
        <f t="shared" si="204"/>
        <v>0</v>
      </c>
      <c r="L669" s="591">
        <f t="shared" si="205"/>
        <v>0</v>
      </c>
      <c r="M669" s="217">
        <f t="shared" si="195"/>
        <v>0</v>
      </c>
      <c r="N669" s="292">
        <f>N671</f>
        <v>0</v>
      </c>
      <c r="R669" s="591">
        <f t="shared" si="220"/>
        <v>10</v>
      </c>
      <c r="S669" s="591">
        <f t="shared" si="220"/>
        <v>0</v>
      </c>
      <c r="T669" s="309">
        <f>I669-G669</f>
        <v>0</v>
      </c>
      <c r="U669" s="498">
        <f t="shared" si="221"/>
        <v>10</v>
      </c>
      <c r="V669" s="498">
        <f t="shared" si="221"/>
        <v>0</v>
      </c>
      <c r="W669" s="310">
        <f>G669-I669</f>
        <v>0</v>
      </c>
      <c r="X669" s="310">
        <f>K669+W669</f>
        <v>0</v>
      </c>
    </row>
    <row r="670" spans="1:24" s="307" customFormat="1" ht="15" x14ac:dyDescent="0.2">
      <c r="A670" s="746" t="s">
        <v>734</v>
      </c>
      <c r="B670" s="306" t="s">
        <v>7</v>
      </c>
      <c r="C670" s="354" t="s">
        <v>611</v>
      </c>
      <c r="D670" s="354" t="s">
        <v>605</v>
      </c>
      <c r="E670" s="450" t="s">
        <v>752</v>
      </c>
      <c r="F670" s="450"/>
      <c r="G670" s="591">
        <f t="shared" si="219"/>
        <v>10</v>
      </c>
      <c r="H670" s="591">
        <f t="shared" si="219"/>
        <v>0</v>
      </c>
      <c r="I670" s="591">
        <f t="shared" si="219"/>
        <v>10</v>
      </c>
      <c r="J670" s="591">
        <f t="shared" si="219"/>
        <v>0</v>
      </c>
      <c r="K670" s="591">
        <f t="shared" si="204"/>
        <v>0</v>
      </c>
      <c r="L670" s="591">
        <f t="shared" si="205"/>
        <v>0</v>
      </c>
      <c r="M670" s="217">
        <f t="shared" si="195"/>
        <v>0</v>
      </c>
      <c r="N670" s="292"/>
      <c r="R670" s="591">
        <f t="shared" si="220"/>
        <v>10</v>
      </c>
      <c r="S670" s="591">
        <f t="shared" si="220"/>
        <v>0</v>
      </c>
      <c r="T670" s="309">
        <f>I670-G670</f>
        <v>0</v>
      </c>
      <c r="U670" s="498">
        <f t="shared" si="221"/>
        <v>10</v>
      </c>
      <c r="V670" s="498">
        <f t="shared" si="221"/>
        <v>0</v>
      </c>
      <c r="W670" s="310">
        <f>G670-I670</f>
        <v>0</v>
      </c>
      <c r="X670" s="310">
        <f>K670+W670</f>
        <v>0</v>
      </c>
    </row>
    <row r="671" spans="1:24" s="175" customFormat="1" ht="25.5" x14ac:dyDescent="0.2">
      <c r="A671" s="739" t="s">
        <v>648</v>
      </c>
      <c r="B671" s="243" t="s">
        <v>7</v>
      </c>
      <c r="C671" s="353" t="s">
        <v>611</v>
      </c>
      <c r="D671" s="353" t="s">
        <v>605</v>
      </c>
      <c r="E671" s="369" t="s">
        <v>752</v>
      </c>
      <c r="F671" s="369" t="s">
        <v>127</v>
      </c>
      <c r="G671" s="288">
        <v>10</v>
      </c>
      <c r="H671" s="288"/>
      <c r="I671" s="288">
        <v>10</v>
      </c>
      <c r="J671" s="288"/>
      <c r="K671" s="43">
        <f t="shared" si="204"/>
        <v>0</v>
      </c>
      <c r="L671" s="43">
        <f t="shared" si="205"/>
        <v>0</v>
      </c>
      <c r="M671" s="217">
        <f t="shared" si="195"/>
        <v>0</v>
      </c>
      <c r="N671" s="43"/>
      <c r="R671" s="288">
        <v>10</v>
      </c>
      <c r="S671" s="288"/>
      <c r="T671" s="217">
        <f>I671-G671</f>
        <v>0</v>
      </c>
      <c r="U671" s="288">
        <v>10</v>
      </c>
      <c r="V671" s="288">
        <v>0</v>
      </c>
      <c r="W671" s="203">
        <f>G671-I671</f>
        <v>0</v>
      </c>
      <c r="X671" s="203">
        <f>K671+W671</f>
        <v>0</v>
      </c>
    </row>
    <row r="672" spans="1:24" s="175" customFormat="1" ht="25.5" hidden="1" x14ac:dyDescent="0.2">
      <c r="A672" s="121" t="s">
        <v>1205</v>
      </c>
      <c r="B672" s="306" t="s">
        <v>7</v>
      </c>
      <c r="C672" s="354" t="s">
        <v>611</v>
      </c>
      <c r="D672" s="354" t="s">
        <v>605</v>
      </c>
      <c r="E672" s="377">
        <v>8900000000</v>
      </c>
      <c r="F672" s="450"/>
      <c r="G672" s="498">
        <f t="shared" ref="G672:J673" si="222">G673</f>
        <v>0</v>
      </c>
      <c r="H672" s="498">
        <f t="shared" si="222"/>
        <v>0</v>
      </c>
      <c r="I672" s="591">
        <f t="shared" si="222"/>
        <v>0</v>
      </c>
      <c r="J672" s="591">
        <f t="shared" si="222"/>
        <v>0</v>
      </c>
      <c r="K672" s="591">
        <f t="shared" si="204"/>
        <v>0</v>
      </c>
      <c r="L672" s="591">
        <f t="shared" si="205"/>
        <v>0</v>
      </c>
      <c r="M672" s="217">
        <f t="shared" si="195"/>
        <v>0</v>
      </c>
      <c r="N672" s="43"/>
      <c r="R672" s="591">
        <f t="shared" ref="R672:S674" si="223">R673</f>
        <v>0</v>
      </c>
      <c r="S672" s="591">
        <f t="shared" si="223"/>
        <v>0</v>
      </c>
      <c r="T672" s="217"/>
      <c r="U672" s="498">
        <f t="shared" ref="U672:V674" si="224">U673</f>
        <v>0</v>
      </c>
      <c r="V672" s="498">
        <f t="shared" si="224"/>
        <v>0</v>
      </c>
      <c r="W672" s="203"/>
      <c r="X672" s="203"/>
    </row>
    <row r="673" spans="1:24" s="175" customFormat="1" ht="15" hidden="1" x14ac:dyDescent="0.2">
      <c r="A673" s="121" t="s">
        <v>1284</v>
      </c>
      <c r="B673" s="306" t="s">
        <v>7</v>
      </c>
      <c r="C673" s="354" t="s">
        <v>611</v>
      </c>
      <c r="D673" s="354" t="s">
        <v>605</v>
      </c>
      <c r="E673" s="377">
        <v>8900500000</v>
      </c>
      <c r="F673" s="450"/>
      <c r="G673" s="498">
        <f t="shared" si="222"/>
        <v>0</v>
      </c>
      <c r="H673" s="498">
        <f t="shared" si="222"/>
        <v>0</v>
      </c>
      <c r="I673" s="591">
        <f t="shared" si="222"/>
        <v>0</v>
      </c>
      <c r="J673" s="591">
        <f t="shared" si="222"/>
        <v>0</v>
      </c>
      <c r="K673" s="591">
        <f t="shared" si="204"/>
        <v>0</v>
      </c>
      <c r="L673" s="591">
        <f t="shared" si="205"/>
        <v>0</v>
      </c>
      <c r="M673" s="217">
        <f t="shared" si="195"/>
        <v>0</v>
      </c>
      <c r="N673" s="43"/>
      <c r="R673" s="591">
        <f t="shared" si="223"/>
        <v>0</v>
      </c>
      <c r="S673" s="591">
        <f t="shared" si="223"/>
        <v>0</v>
      </c>
      <c r="T673" s="217"/>
      <c r="U673" s="498">
        <f t="shared" si="224"/>
        <v>0</v>
      </c>
      <c r="V673" s="498">
        <f t="shared" si="224"/>
        <v>0</v>
      </c>
      <c r="W673" s="203"/>
      <c r="X673" s="203"/>
    </row>
    <row r="674" spans="1:24" s="175" customFormat="1" ht="15" hidden="1" x14ac:dyDescent="0.2">
      <c r="A674" s="121" t="s">
        <v>1285</v>
      </c>
      <c r="B674" s="306" t="s">
        <v>7</v>
      </c>
      <c r="C674" s="354" t="s">
        <v>611</v>
      </c>
      <c r="D674" s="354" t="s">
        <v>605</v>
      </c>
      <c r="E674" s="377" t="s">
        <v>1286</v>
      </c>
      <c r="F674" s="450"/>
      <c r="G674" s="498">
        <f>G675+G676</f>
        <v>0</v>
      </c>
      <c r="H674" s="591">
        <f>H675+H676</f>
        <v>0</v>
      </c>
      <c r="I674" s="591">
        <f>I675+I676</f>
        <v>0</v>
      </c>
      <c r="J674" s="591">
        <f>J675+J676</f>
        <v>0</v>
      </c>
      <c r="K674" s="591">
        <f t="shared" si="204"/>
        <v>0</v>
      </c>
      <c r="L674" s="591">
        <f t="shared" si="205"/>
        <v>0</v>
      </c>
      <c r="M674" s="217">
        <f t="shared" si="195"/>
        <v>0</v>
      </c>
      <c r="N674" s="43"/>
      <c r="R674" s="591">
        <f t="shared" si="223"/>
        <v>0</v>
      </c>
      <c r="S674" s="591">
        <f t="shared" si="223"/>
        <v>0</v>
      </c>
      <c r="T674" s="217"/>
      <c r="U674" s="498">
        <f t="shared" si="224"/>
        <v>0</v>
      </c>
      <c r="V674" s="498">
        <f t="shared" si="224"/>
        <v>0</v>
      </c>
      <c r="W674" s="203"/>
      <c r="X674" s="203"/>
    </row>
    <row r="675" spans="1:24" s="175" customFormat="1" ht="17.25" hidden="1" customHeight="1" x14ac:dyDescent="0.2">
      <c r="A675" s="124" t="s">
        <v>125</v>
      </c>
      <c r="B675" s="243" t="s">
        <v>7</v>
      </c>
      <c r="C675" s="353" t="s">
        <v>611</v>
      </c>
      <c r="D675" s="353" t="s">
        <v>605</v>
      </c>
      <c r="E675" s="378" t="s">
        <v>1286</v>
      </c>
      <c r="F675" s="369">
        <v>612</v>
      </c>
      <c r="G675" s="288"/>
      <c r="H675" s="185"/>
      <c r="I675" s="288"/>
      <c r="J675" s="185"/>
      <c r="K675" s="43">
        <f t="shared" si="204"/>
        <v>0</v>
      </c>
      <c r="L675" s="43">
        <f t="shared" si="205"/>
        <v>0</v>
      </c>
      <c r="M675" s="217">
        <f t="shared" si="195"/>
        <v>0</v>
      </c>
      <c r="N675" s="43"/>
      <c r="P675" s="445">
        <f>I675-173.63533</f>
        <v>-173.63533000000001</v>
      </c>
      <c r="Q675" s="445"/>
      <c r="R675" s="288"/>
      <c r="S675" s="185"/>
      <c r="T675" s="217"/>
      <c r="U675" s="288"/>
      <c r="V675" s="185"/>
      <c r="W675" s="203"/>
      <c r="X675" s="203"/>
    </row>
    <row r="676" spans="1:24" s="175" customFormat="1" ht="15" hidden="1" x14ac:dyDescent="0.2">
      <c r="A676" s="612" t="s">
        <v>126</v>
      </c>
      <c r="B676" s="243" t="s">
        <v>7</v>
      </c>
      <c r="C676" s="353" t="s">
        <v>611</v>
      </c>
      <c r="D676" s="353" t="s">
        <v>605</v>
      </c>
      <c r="E676" s="378" t="s">
        <v>1286</v>
      </c>
      <c r="F676" s="369">
        <v>622</v>
      </c>
      <c r="G676" s="288"/>
      <c r="H676" s="655"/>
      <c r="I676" s="288"/>
      <c r="J676" s="655"/>
      <c r="K676" s="43">
        <f t="shared" si="204"/>
        <v>0</v>
      </c>
      <c r="L676" s="43">
        <f t="shared" si="205"/>
        <v>0</v>
      </c>
      <c r="M676" s="217"/>
      <c r="N676" s="43"/>
      <c r="P676" s="445"/>
      <c r="Q676" s="445"/>
      <c r="R676" s="288"/>
      <c r="S676" s="185"/>
      <c r="T676" s="217"/>
      <c r="U676" s="288"/>
      <c r="V676" s="185"/>
      <c r="W676" s="203"/>
      <c r="X676" s="203"/>
    </row>
    <row r="677" spans="1:24" s="175" customFormat="1" ht="17.25" customHeight="1" x14ac:dyDescent="0.2">
      <c r="A677" s="746" t="s">
        <v>65</v>
      </c>
      <c r="B677" s="306" t="s">
        <v>7</v>
      </c>
      <c r="C677" s="354" t="s">
        <v>611</v>
      </c>
      <c r="D677" s="354" t="s">
        <v>605</v>
      </c>
      <c r="E677" s="450">
        <v>9990000000</v>
      </c>
      <c r="F677" s="450"/>
      <c r="G677" s="591">
        <f>G687+G682+G685+G678+G680</f>
        <v>1000.65</v>
      </c>
      <c r="H677" s="591">
        <f t="shared" ref="H677:L677" si="225">H687+H682+H685+H678+H680</f>
        <v>0</v>
      </c>
      <c r="I677" s="591">
        <f t="shared" si="225"/>
        <v>1153.826</v>
      </c>
      <c r="J677" s="591">
        <f t="shared" si="225"/>
        <v>30</v>
      </c>
      <c r="K677" s="591">
        <f t="shared" si="225"/>
        <v>153.17599999999999</v>
      </c>
      <c r="L677" s="591">
        <f t="shared" si="225"/>
        <v>30</v>
      </c>
      <c r="M677" s="217">
        <f t="shared" si="195"/>
        <v>0</v>
      </c>
      <c r="N677" s="43"/>
      <c r="P677" s="445"/>
      <c r="Q677" s="445"/>
      <c r="R677" s="591">
        <f>R687+R682+R685</f>
        <v>0</v>
      </c>
      <c r="S677" s="591">
        <f>S687+S682+S685</f>
        <v>0</v>
      </c>
      <c r="T677" s="217"/>
      <c r="U677" s="498">
        <f>U687+U682+U685</f>
        <v>329.03500000000003</v>
      </c>
      <c r="V677" s="498">
        <f>V687+V682+V685</f>
        <v>0</v>
      </c>
      <c r="W677" s="203"/>
      <c r="X677" s="203"/>
    </row>
    <row r="678" spans="1:24" s="175" customFormat="1" ht="17.25" customHeight="1" x14ac:dyDescent="0.2">
      <c r="A678" s="746" t="s">
        <v>2008</v>
      </c>
      <c r="B678" s="306" t="s">
        <v>7</v>
      </c>
      <c r="C678" s="354" t="s">
        <v>611</v>
      </c>
      <c r="D678" s="354" t="s">
        <v>605</v>
      </c>
      <c r="E678" s="697">
        <v>9990012210</v>
      </c>
      <c r="F678" s="697"/>
      <c r="G678" s="591">
        <f>G679</f>
        <v>0</v>
      </c>
      <c r="H678" s="591">
        <f>H679</f>
        <v>0</v>
      </c>
      <c r="I678" s="591">
        <f>I679</f>
        <v>273.17599999999999</v>
      </c>
      <c r="J678" s="591">
        <f>J679</f>
        <v>0</v>
      </c>
      <c r="K678" s="591">
        <f t="shared" ref="K678:K679" si="226">I678-G678</f>
        <v>273.17599999999999</v>
      </c>
      <c r="L678" s="591">
        <f t="shared" ref="L678:L679" si="227">J678-H678</f>
        <v>0</v>
      </c>
      <c r="M678" s="217"/>
      <c r="N678" s="43"/>
      <c r="P678" s="445"/>
      <c r="Q678" s="445"/>
      <c r="R678" s="591"/>
      <c r="S678" s="591"/>
      <c r="T678" s="217"/>
      <c r="U678" s="591"/>
      <c r="V678" s="591"/>
      <c r="W678" s="203"/>
      <c r="X678" s="203"/>
    </row>
    <row r="679" spans="1:24" s="175" customFormat="1" ht="17.25" customHeight="1" x14ac:dyDescent="0.2">
      <c r="A679" s="739" t="s">
        <v>1539</v>
      </c>
      <c r="B679" s="243" t="s">
        <v>7</v>
      </c>
      <c r="C679" s="353" t="s">
        <v>611</v>
      </c>
      <c r="D679" s="353" t="s">
        <v>605</v>
      </c>
      <c r="E679" s="386">
        <v>9990012210</v>
      </c>
      <c r="F679" s="369">
        <v>611</v>
      </c>
      <c r="G679" s="288">
        <v>0</v>
      </c>
      <c r="H679" s="288"/>
      <c r="I679" s="288">
        <v>273.17599999999999</v>
      </c>
      <c r="J679" s="288"/>
      <c r="K679" s="43">
        <f t="shared" si="226"/>
        <v>273.17599999999999</v>
      </c>
      <c r="L679" s="43">
        <f t="shared" si="227"/>
        <v>0</v>
      </c>
      <c r="M679" s="217"/>
      <c r="N679" s="43"/>
      <c r="P679" s="445"/>
      <c r="Q679" s="445"/>
      <c r="R679" s="591"/>
      <c r="S679" s="591"/>
      <c r="T679" s="217"/>
      <c r="U679" s="591"/>
      <c r="V679" s="591"/>
      <c r="W679" s="203"/>
      <c r="X679" s="203"/>
    </row>
    <row r="680" spans="1:24" s="175" customFormat="1" ht="17.25" customHeight="1" x14ac:dyDescent="0.2">
      <c r="A680" s="746" t="s">
        <v>2002</v>
      </c>
      <c r="B680" s="306" t="s">
        <v>7</v>
      </c>
      <c r="C680" s="354" t="s">
        <v>611</v>
      </c>
      <c r="D680" s="354" t="s">
        <v>605</v>
      </c>
      <c r="E680" s="697">
        <v>9990055493</v>
      </c>
      <c r="F680" s="697"/>
      <c r="G680" s="591">
        <f>G681</f>
        <v>0</v>
      </c>
      <c r="H680" s="591">
        <f>H681</f>
        <v>0</v>
      </c>
      <c r="I680" s="591">
        <f>I681</f>
        <v>30</v>
      </c>
      <c r="J680" s="591">
        <f>J681</f>
        <v>30</v>
      </c>
      <c r="K680" s="591">
        <f t="shared" ref="K680:K681" si="228">I680-G680</f>
        <v>30</v>
      </c>
      <c r="L680" s="591">
        <f t="shared" ref="L680:L681" si="229">J680-H680</f>
        <v>30</v>
      </c>
      <c r="M680" s="217"/>
      <c r="N680" s="43"/>
      <c r="P680" s="445"/>
      <c r="Q680" s="445"/>
      <c r="R680" s="591"/>
      <c r="S680" s="591"/>
      <c r="T680" s="217"/>
      <c r="U680" s="591"/>
      <c r="V680" s="591"/>
      <c r="W680" s="203"/>
      <c r="X680" s="203"/>
    </row>
    <row r="681" spans="1:24" s="175" customFormat="1" ht="17.25" customHeight="1" x14ac:dyDescent="0.2">
      <c r="A681" s="739" t="s">
        <v>1539</v>
      </c>
      <c r="B681" s="243" t="s">
        <v>7</v>
      </c>
      <c r="C681" s="353" t="s">
        <v>611</v>
      </c>
      <c r="D681" s="353" t="s">
        <v>605</v>
      </c>
      <c r="E681" s="386">
        <v>9990055493</v>
      </c>
      <c r="F681" s="369">
        <v>611</v>
      </c>
      <c r="G681" s="288">
        <v>0</v>
      </c>
      <c r="H681" s="288"/>
      <c r="I681" s="288">
        <v>30</v>
      </c>
      <c r="J681" s="288">
        <v>30</v>
      </c>
      <c r="K681" s="43">
        <f t="shared" si="228"/>
        <v>30</v>
      </c>
      <c r="L681" s="43">
        <f t="shared" si="229"/>
        <v>30</v>
      </c>
      <c r="M681" s="217"/>
      <c r="N681" s="43"/>
      <c r="P681" s="445"/>
      <c r="Q681" s="445"/>
      <c r="R681" s="591"/>
      <c r="S681" s="591"/>
      <c r="T681" s="217"/>
      <c r="U681" s="591"/>
      <c r="V681" s="591"/>
      <c r="W681" s="203"/>
      <c r="X681" s="203"/>
    </row>
    <row r="682" spans="1:24" s="175" customFormat="1" ht="28.5" customHeight="1" x14ac:dyDescent="0.2">
      <c r="A682" s="746" t="s">
        <v>49</v>
      </c>
      <c r="B682" s="306" t="s">
        <v>7</v>
      </c>
      <c r="C682" s="354" t="s">
        <v>611</v>
      </c>
      <c r="D682" s="354" t="s">
        <v>605</v>
      </c>
      <c r="E682" s="514">
        <v>9990082900</v>
      </c>
      <c r="F682" s="506"/>
      <c r="G682" s="591">
        <f>G684+G683</f>
        <v>1000.65</v>
      </c>
      <c r="H682" s="591">
        <f t="shared" ref="H682:L682" si="230">H684+H683</f>
        <v>0</v>
      </c>
      <c r="I682" s="591">
        <f t="shared" si="230"/>
        <v>850.65</v>
      </c>
      <c r="J682" s="591">
        <f t="shared" si="230"/>
        <v>0</v>
      </c>
      <c r="K682" s="591">
        <f t="shared" si="230"/>
        <v>-150</v>
      </c>
      <c r="L682" s="591">
        <f t="shared" si="230"/>
        <v>0</v>
      </c>
      <c r="M682" s="217">
        <f>I682-G682-K682</f>
        <v>0</v>
      </c>
      <c r="N682" s="43"/>
      <c r="P682" s="445"/>
      <c r="Q682" s="445"/>
      <c r="R682" s="591">
        <f>R684</f>
        <v>0</v>
      </c>
      <c r="S682" s="591">
        <f>S684</f>
        <v>0</v>
      </c>
      <c r="T682" s="217"/>
      <c r="U682" s="498">
        <f>U684</f>
        <v>0</v>
      </c>
      <c r="V682" s="498">
        <f>V684</f>
        <v>0</v>
      </c>
      <c r="W682" s="203"/>
      <c r="X682" s="203"/>
    </row>
    <row r="683" spans="1:24" s="175" customFormat="1" ht="28.5" customHeight="1" x14ac:dyDescent="0.2">
      <c r="A683" s="739" t="s">
        <v>1584</v>
      </c>
      <c r="B683" s="243" t="s">
        <v>7</v>
      </c>
      <c r="C683" s="353" t="s">
        <v>611</v>
      </c>
      <c r="D683" s="353" t="s">
        <v>605</v>
      </c>
      <c r="E683" s="386">
        <v>9990082900</v>
      </c>
      <c r="F683" s="369">
        <v>540</v>
      </c>
      <c r="G683" s="288"/>
      <c r="H683" s="288"/>
      <c r="I683" s="288">
        <v>500.65</v>
      </c>
      <c r="J683" s="288"/>
      <c r="K683" s="43">
        <f t="shared" ref="K683" si="231">I683-G683</f>
        <v>500.65</v>
      </c>
      <c r="L683" s="43">
        <f t="shared" ref="L683" si="232">J683-H683</f>
        <v>0</v>
      </c>
      <c r="M683" s="217"/>
      <c r="N683" s="43"/>
      <c r="P683" s="445"/>
      <c r="Q683" s="445"/>
      <c r="R683" s="591"/>
      <c r="S683" s="591"/>
      <c r="T683" s="217"/>
      <c r="U683" s="591"/>
      <c r="V683" s="591"/>
      <c r="W683" s="203"/>
      <c r="X683" s="203"/>
    </row>
    <row r="684" spans="1:24" s="175" customFormat="1" ht="17.25" customHeight="1" x14ac:dyDescent="0.2">
      <c r="A684" s="739" t="s">
        <v>126</v>
      </c>
      <c r="B684" s="243" t="s">
        <v>7</v>
      </c>
      <c r="C684" s="353" t="s">
        <v>611</v>
      </c>
      <c r="D684" s="353" t="s">
        <v>605</v>
      </c>
      <c r="E684" s="386">
        <v>9990082900</v>
      </c>
      <c r="F684" s="369">
        <v>622</v>
      </c>
      <c r="G684" s="288">
        <v>1000.65</v>
      </c>
      <c r="H684" s="288"/>
      <c r="I684" s="288">
        <v>350</v>
      </c>
      <c r="J684" s="288"/>
      <c r="K684" s="43">
        <f t="shared" si="204"/>
        <v>-650.65</v>
      </c>
      <c r="L684" s="43">
        <f t="shared" si="205"/>
        <v>0</v>
      </c>
      <c r="M684" s="217">
        <f>I684-G684-K684</f>
        <v>0</v>
      </c>
      <c r="N684" s="43"/>
      <c r="P684" s="445"/>
      <c r="Q684" s="445"/>
      <c r="R684" s="288"/>
      <c r="S684" s="288"/>
      <c r="T684" s="217"/>
      <c r="U684" s="288">
        <v>0</v>
      </c>
      <c r="V684" s="288">
        <v>0</v>
      </c>
      <c r="W684" s="203"/>
      <c r="X684" s="203"/>
    </row>
    <row r="685" spans="1:24" s="175" customFormat="1" ht="17.25" hidden="1" customHeight="1" x14ac:dyDescent="0.2">
      <c r="A685" s="133" t="s">
        <v>236</v>
      </c>
      <c r="B685" s="388" t="s">
        <v>7</v>
      </c>
      <c r="C685" s="389" t="s">
        <v>611</v>
      </c>
      <c r="D685" s="389" t="s">
        <v>605</v>
      </c>
      <c r="E685" s="515">
        <v>9990086010</v>
      </c>
      <c r="F685" s="390"/>
      <c r="G685" s="391">
        <f>G686</f>
        <v>0</v>
      </c>
      <c r="H685" s="391">
        <f>H686</f>
        <v>0</v>
      </c>
      <c r="I685" s="391">
        <f>I686</f>
        <v>0</v>
      </c>
      <c r="J685" s="391">
        <f>J686</f>
        <v>0</v>
      </c>
      <c r="K685" s="391">
        <f t="shared" si="204"/>
        <v>0</v>
      </c>
      <c r="L685" s="391">
        <f t="shared" si="205"/>
        <v>0</v>
      </c>
      <c r="M685" s="217"/>
      <c r="N685" s="43"/>
      <c r="P685" s="445"/>
      <c r="Q685" s="445"/>
      <c r="R685" s="391">
        <f>R686</f>
        <v>0</v>
      </c>
      <c r="S685" s="391">
        <f>S686</f>
        <v>0</v>
      </c>
      <c r="T685" s="217"/>
      <c r="U685" s="391">
        <f>U686</f>
        <v>60</v>
      </c>
      <c r="V685" s="391">
        <f>V686</f>
        <v>0</v>
      </c>
      <c r="W685" s="203"/>
      <c r="X685" s="203"/>
    </row>
    <row r="686" spans="1:24" s="175" customFormat="1" ht="17.25" hidden="1" customHeight="1" x14ac:dyDescent="0.2">
      <c r="A686" s="124" t="s">
        <v>125</v>
      </c>
      <c r="B686" s="243" t="s">
        <v>7</v>
      </c>
      <c r="C686" s="353" t="s">
        <v>611</v>
      </c>
      <c r="D686" s="353" t="s">
        <v>605</v>
      </c>
      <c r="E686" s="386">
        <v>9990086010</v>
      </c>
      <c r="F686" s="369">
        <v>612</v>
      </c>
      <c r="G686" s="288"/>
      <c r="H686" s="288"/>
      <c r="I686" s="288"/>
      <c r="J686" s="288"/>
      <c r="K686" s="43">
        <f t="shared" si="204"/>
        <v>0</v>
      </c>
      <c r="L686" s="43">
        <f t="shared" si="205"/>
        <v>0</v>
      </c>
      <c r="M686" s="217"/>
      <c r="N686" s="43"/>
      <c r="P686" s="445"/>
      <c r="Q686" s="445"/>
      <c r="R686" s="288"/>
      <c r="S686" s="288"/>
      <c r="T686" s="217"/>
      <c r="U686" s="288">
        <v>60</v>
      </c>
      <c r="V686" s="288"/>
      <c r="W686" s="203"/>
      <c r="X686" s="203"/>
    </row>
    <row r="687" spans="1:24" s="175" customFormat="1" ht="17.25" hidden="1" customHeight="1" x14ac:dyDescent="0.2">
      <c r="A687" s="451" t="s">
        <v>294</v>
      </c>
      <c r="B687" s="306" t="s">
        <v>7</v>
      </c>
      <c r="C687" s="354" t="s">
        <v>611</v>
      </c>
      <c r="D687" s="354" t="s">
        <v>605</v>
      </c>
      <c r="E687" s="450" t="s">
        <v>692</v>
      </c>
      <c r="F687" s="450"/>
      <c r="G687" s="498">
        <f>G688</f>
        <v>0</v>
      </c>
      <c r="H687" s="498">
        <f>H688</f>
        <v>0</v>
      </c>
      <c r="I687" s="591">
        <f>I688</f>
        <v>0</v>
      </c>
      <c r="J687" s="591">
        <f>J688</f>
        <v>0</v>
      </c>
      <c r="K687" s="591">
        <f t="shared" si="204"/>
        <v>0</v>
      </c>
      <c r="L687" s="591">
        <f t="shared" si="205"/>
        <v>0</v>
      </c>
      <c r="M687" s="217">
        <f t="shared" si="195"/>
        <v>0</v>
      </c>
      <c r="N687" s="43"/>
      <c r="P687" s="445"/>
      <c r="Q687" s="445"/>
      <c r="R687" s="591">
        <f>R688</f>
        <v>0</v>
      </c>
      <c r="S687" s="591">
        <f>S688</f>
        <v>0</v>
      </c>
      <c r="T687" s="217"/>
      <c r="U687" s="498">
        <f>U688</f>
        <v>269.03500000000003</v>
      </c>
      <c r="V687" s="498">
        <f>V688</f>
        <v>0</v>
      </c>
      <c r="W687" s="203"/>
      <c r="X687" s="203"/>
    </row>
    <row r="688" spans="1:24" s="175" customFormat="1" ht="17.25" hidden="1" customHeight="1" x14ac:dyDescent="0.2">
      <c r="A688" s="124" t="s">
        <v>125</v>
      </c>
      <c r="B688" s="243" t="s">
        <v>7</v>
      </c>
      <c r="C688" s="353" t="s">
        <v>611</v>
      </c>
      <c r="D688" s="353" t="s">
        <v>605</v>
      </c>
      <c r="E688" s="369" t="s">
        <v>692</v>
      </c>
      <c r="F688" s="369">
        <v>612</v>
      </c>
      <c r="G688" s="288"/>
      <c r="H688" s="288"/>
      <c r="I688" s="288"/>
      <c r="J688" s="288"/>
      <c r="K688" s="43">
        <f t="shared" si="204"/>
        <v>0</v>
      </c>
      <c r="L688" s="43">
        <f t="shared" si="205"/>
        <v>0</v>
      </c>
      <c r="M688" s="217">
        <f t="shared" si="195"/>
        <v>0</v>
      </c>
      <c r="N688" s="43"/>
      <c r="P688" s="445"/>
      <c r="Q688" s="445"/>
      <c r="R688" s="288"/>
      <c r="S688" s="288"/>
      <c r="T688" s="217"/>
      <c r="U688" s="288">
        <v>269.03500000000003</v>
      </c>
      <c r="V688" s="288">
        <v>0</v>
      </c>
      <c r="W688" s="203"/>
      <c r="X688" s="203"/>
    </row>
    <row r="689" spans="1:24" s="307" customFormat="1" ht="15" x14ac:dyDescent="0.2">
      <c r="A689" s="746" t="s">
        <v>9</v>
      </c>
      <c r="B689" s="306" t="s">
        <v>7</v>
      </c>
      <c r="C689" s="354" t="s">
        <v>611</v>
      </c>
      <c r="D689" s="354" t="s">
        <v>608</v>
      </c>
      <c r="E689" s="450"/>
      <c r="F689" s="450"/>
      <c r="G689" s="591">
        <f>G690+G720+G716</f>
        <v>12631.360339999999</v>
      </c>
      <c r="H689" s="591">
        <f>H690+H720+H716</f>
        <v>0</v>
      </c>
      <c r="I689" s="591">
        <f>I690+I720+I716</f>
        <v>18360.700969999998</v>
      </c>
      <c r="J689" s="591">
        <f>J690+J720+J716</f>
        <v>35</v>
      </c>
      <c r="K689" s="591">
        <f t="shared" si="204"/>
        <v>5729.3406299999988</v>
      </c>
      <c r="L689" s="591">
        <f t="shared" si="205"/>
        <v>35</v>
      </c>
      <c r="M689" s="217">
        <f t="shared" si="195"/>
        <v>0</v>
      </c>
      <c r="N689" s="312">
        <f>N690+N720</f>
        <v>7509.8269999999993</v>
      </c>
      <c r="P689" s="313"/>
      <c r="Q689" s="313"/>
      <c r="R689" s="591">
        <f>R690+R720+R716</f>
        <v>16636.417130000002</v>
      </c>
      <c r="S689" s="591">
        <f>S690+S720+S716</f>
        <v>0</v>
      </c>
      <c r="T689" s="309">
        <f>I689-G689</f>
        <v>5729.3406299999988</v>
      </c>
      <c r="U689" s="498">
        <f>U690+U720+U716</f>
        <v>94478.895000000004</v>
      </c>
      <c r="V689" s="498">
        <f>V690+V720+V716</f>
        <v>75055.269650000002</v>
      </c>
      <c r="W689" s="310">
        <f>G689-I689</f>
        <v>-5729.3406299999988</v>
      </c>
      <c r="X689" s="310">
        <f>K689+W689</f>
        <v>0</v>
      </c>
    </row>
    <row r="690" spans="1:24" s="307" customFormat="1" ht="15" x14ac:dyDescent="0.2">
      <c r="A690" s="746" t="s">
        <v>326</v>
      </c>
      <c r="B690" s="306" t="s">
        <v>7</v>
      </c>
      <c r="C690" s="354" t="s">
        <v>611</v>
      </c>
      <c r="D690" s="354" t="s">
        <v>608</v>
      </c>
      <c r="E690" s="450" t="s">
        <v>323</v>
      </c>
      <c r="F690" s="450"/>
      <c r="G690" s="591">
        <f>G695+G691</f>
        <v>3393.7263400000002</v>
      </c>
      <c r="H690" s="591">
        <f>H695+H691</f>
        <v>0</v>
      </c>
      <c r="I690" s="591">
        <f>I695+I691</f>
        <v>4400.9815600000002</v>
      </c>
      <c r="J690" s="591">
        <f>J695+J691</f>
        <v>0</v>
      </c>
      <c r="K690" s="591">
        <f t="shared" si="204"/>
        <v>1007.25522</v>
      </c>
      <c r="L690" s="591">
        <f t="shared" si="205"/>
        <v>0</v>
      </c>
      <c r="M690" s="217">
        <f t="shared" si="195"/>
        <v>0</v>
      </c>
      <c r="N690" s="312">
        <f>N695</f>
        <v>1979.3999999999999</v>
      </c>
      <c r="P690" s="313"/>
      <c r="Q690" s="313"/>
      <c r="R690" s="591">
        <f>R695+R691</f>
        <v>4213.8852299999999</v>
      </c>
      <c r="S690" s="591">
        <f>S695+S691</f>
        <v>0</v>
      </c>
      <c r="T690" s="309">
        <f>I690-G690</f>
        <v>1007.25522</v>
      </c>
      <c r="U690" s="498">
        <f>U695+U691</f>
        <v>4886.9780000000001</v>
      </c>
      <c r="V690" s="498">
        <f>V695+V691</f>
        <v>0</v>
      </c>
      <c r="W690" s="310">
        <f>G690-I690</f>
        <v>-1007.25522</v>
      </c>
      <c r="X690" s="310">
        <f>K690+W690</f>
        <v>0</v>
      </c>
    </row>
    <row r="691" spans="1:24" s="307" customFormat="1" ht="25.5" hidden="1" x14ac:dyDescent="0.2">
      <c r="A691" s="524" t="s">
        <v>717</v>
      </c>
      <c r="B691" s="306" t="s">
        <v>7</v>
      </c>
      <c r="C691" s="354" t="s">
        <v>611</v>
      </c>
      <c r="D691" s="354" t="s">
        <v>608</v>
      </c>
      <c r="E691" s="521">
        <v>7320000000</v>
      </c>
      <c r="F691" s="521"/>
      <c r="G691" s="498">
        <f t="shared" ref="G691:J693" si="233">G692</f>
        <v>0</v>
      </c>
      <c r="H691" s="498">
        <f t="shared" si="233"/>
        <v>0</v>
      </c>
      <c r="I691" s="591">
        <f t="shared" si="233"/>
        <v>0</v>
      </c>
      <c r="J691" s="591">
        <f t="shared" si="233"/>
        <v>0</v>
      </c>
      <c r="K691" s="591">
        <f t="shared" si="204"/>
        <v>0</v>
      </c>
      <c r="L691" s="591">
        <f t="shared" si="205"/>
        <v>0</v>
      </c>
      <c r="M691" s="217"/>
      <c r="N691" s="312"/>
      <c r="P691" s="313"/>
      <c r="Q691" s="313"/>
      <c r="R691" s="591">
        <f t="shared" ref="R691:S693" si="234">R692</f>
        <v>757.00735999999995</v>
      </c>
      <c r="S691" s="591">
        <f t="shared" si="234"/>
        <v>0</v>
      </c>
      <c r="T691" s="309"/>
      <c r="U691" s="498">
        <f t="shared" ref="U691:V693" si="235">U692</f>
        <v>1500</v>
      </c>
      <c r="V691" s="498">
        <f t="shared" si="235"/>
        <v>0</v>
      </c>
      <c r="W691" s="310"/>
      <c r="X691" s="310"/>
    </row>
    <row r="692" spans="1:24" s="307" customFormat="1" ht="15" hidden="1" x14ac:dyDescent="0.2">
      <c r="A692" s="524" t="s">
        <v>995</v>
      </c>
      <c r="B692" s="306" t="s">
        <v>7</v>
      </c>
      <c r="C692" s="354" t="s">
        <v>611</v>
      </c>
      <c r="D692" s="354" t="s">
        <v>608</v>
      </c>
      <c r="E692" s="521">
        <v>7320500000</v>
      </c>
      <c r="F692" s="521"/>
      <c r="G692" s="498">
        <f t="shared" si="233"/>
        <v>0</v>
      </c>
      <c r="H692" s="498">
        <f t="shared" si="233"/>
        <v>0</v>
      </c>
      <c r="I692" s="591">
        <f t="shared" si="233"/>
        <v>0</v>
      </c>
      <c r="J692" s="591">
        <f t="shared" si="233"/>
        <v>0</v>
      </c>
      <c r="K692" s="591">
        <f t="shared" si="204"/>
        <v>0</v>
      </c>
      <c r="L692" s="591">
        <f t="shared" si="205"/>
        <v>0</v>
      </c>
      <c r="M692" s="217"/>
      <c r="N692" s="312"/>
      <c r="P692" s="313"/>
      <c r="Q692" s="313"/>
      <c r="R692" s="591">
        <f t="shared" si="234"/>
        <v>757.00735999999995</v>
      </c>
      <c r="S692" s="591">
        <f t="shared" si="234"/>
        <v>0</v>
      </c>
      <c r="T692" s="309"/>
      <c r="U692" s="498">
        <f t="shared" si="235"/>
        <v>1500</v>
      </c>
      <c r="V692" s="498">
        <f t="shared" si="235"/>
        <v>0</v>
      </c>
      <c r="W692" s="310"/>
      <c r="X692" s="310"/>
    </row>
    <row r="693" spans="1:24" s="307" customFormat="1" ht="15" hidden="1" x14ac:dyDescent="0.2">
      <c r="A693" s="524" t="s">
        <v>294</v>
      </c>
      <c r="B693" s="306" t="s">
        <v>7</v>
      </c>
      <c r="C693" s="354" t="s">
        <v>611</v>
      </c>
      <c r="D693" s="354" t="s">
        <v>608</v>
      </c>
      <c r="E693" s="522" t="s">
        <v>994</v>
      </c>
      <c r="F693" s="521"/>
      <c r="G693" s="498">
        <f t="shared" si="233"/>
        <v>0</v>
      </c>
      <c r="H693" s="498">
        <f t="shared" si="233"/>
        <v>0</v>
      </c>
      <c r="I693" s="591">
        <f t="shared" si="233"/>
        <v>0</v>
      </c>
      <c r="J693" s="591">
        <f t="shared" si="233"/>
        <v>0</v>
      </c>
      <c r="K693" s="591">
        <f t="shared" si="204"/>
        <v>0</v>
      </c>
      <c r="L693" s="591">
        <f t="shared" si="205"/>
        <v>0</v>
      </c>
      <c r="M693" s="217"/>
      <c r="N693" s="312"/>
      <c r="P693" s="313"/>
      <c r="Q693" s="313"/>
      <c r="R693" s="591">
        <f t="shared" si="234"/>
        <v>757.00735999999995</v>
      </c>
      <c r="S693" s="591">
        <f t="shared" si="234"/>
        <v>0</v>
      </c>
      <c r="T693" s="309"/>
      <c r="U693" s="498">
        <f t="shared" si="235"/>
        <v>1500</v>
      </c>
      <c r="V693" s="498">
        <f t="shared" si="235"/>
        <v>0</v>
      </c>
      <c r="W693" s="310"/>
      <c r="X693" s="310"/>
    </row>
    <row r="694" spans="1:24" s="307" customFormat="1" ht="15" hidden="1" x14ac:dyDescent="0.2">
      <c r="A694" s="525" t="s">
        <v>126</v>
      </c>
      <c r="B694" s="516" t="s">
        <v>7</v>
      </c>
      <c r="C694" s="517" t="s">
        <v>611</v>
      </c>
      <c r="D694" s="517" t="s">
        <v>608</v>
      </c>
      <c r="E694" s="523" t="s">
        <v>994</v>
      </c>
      <c r="F694" s="518">
        <v>465</v>
      </c>
      <c r="G694" s="519"/>
      <c r="H694" s="519"/>
      <c r="I694" s="519"/>
      <c r="J694" s="519"/>
      <c r="K694" s="43">
        <f t="shared" si="204"/>
        <v>0</v>
      </c>
      <c r="L694" s="43">
        <f t="shared" si="205"/>
        <v>0</v>
      </c>
      <c r="M694" s="217"/>
      <c r="N694" s="312"/>
      <c r="P694" s="313"/>
      <c r="Q694" s="313"/>
      <c r="R694" s="519">
        <v>757.00735999999995</v>
      </c>
      <c r="S694" s="519"/>
      <c r="T694" s="309"/>
      <c r="U694" s="519">
        <v>1500</v>
      </c>
      <c r="V694" s="519"/>
      <c r="W694" s="310"/>
      <c r="X694" s="310"/>
    </row>
    <row r="695" spans="1:24" s="307" customFormat="1" ht="15" x14ac:dyDescent="0.2">
      <c r="A695" s="746" t="s">
        <v>365</v>
      </c>
      <c r="B695" s="306" t="s">
        <v>7</v>
      </c>
      <c r="C695" s="354" t="s">
        <v>611</v>
      </c>
      <c r="D695" s="354" t="s">
        <v>608</v>
      </c>
      <c r="E695" s="450" t="s">
        <v>367</v>
      </c>
      <c r="F695" s="450"/>
      <c r="G695" s="591">
        <f>G696</f>
        <v>3393.7263400000002</v>
      </c>
      <c r="H695" s="591">
        <f>H696</f>
        <v>0</v>
      </c>
      <c r="I695" s="591">
        <f>I696</f>
        <v>4400.9815600000002</v>
      </c>
      <c r="J695" s="591">
        <f>J696</f>
        <v>0</v>
      </c>
      <c r="K695" s="591">
        <f t="shared" si="204"/>
        <v>1007.25522</v>
      </c>
      <c r="L695" s="591">
        <f t="shared" si="205"/>
        <v>0</v>
      </c>
      <c r="M695" s="217">
        <f t="shared" si="195"/>
        <v>0</v>
      </c>
      <c r="N695" s="312">
        <f>N696</f>
        <v>1979.3999999999999</v>
      </c>
      <c r="P695" s="313"/>
      <c r="Q695" s="313"/>
      <c r="R695" s="591">
        <f>R696</f>
        <v>3456.8778699999998</v>
      </c>
      <c r="S695" s="591">
        <f>S696</f>
        <v>0</v>
      </c>
      <c r="T695" s="309">
        <f t="shared" ref="T695:T705" si="236">I695-G695</f>
        <v>1007.25522</v>
      </c>
      <c r="U695" s="498">
        <f>U696</f>
        <v>3386.9780000000001</v>
      </c>
      <c r="V695" s="498">
        <f>V696</f>
        <v>0</v>
      </c>
      <c r="W695" s="310">
        <f t="shared" ref="W695:W710" si="237">G695-I695</f>
        <v>-1007.25522</v>
      </c>
      <c r="X695" s="310">
        <f t="shared" ref="X695:X710" si="238">K695+W695</f>
        <v>0</v>
      </c>
    </row>
    <row r="696" spans="1:24" s="307" customFormat="1" ht="15" x14ac:dyDescent="0.2">
      <c r="A696" s="746" t="s">
        <v>366</v>
      </c>
      <c r="B696" s="306" t="s">
        <v>7</v>
      </c>
      <c r="C696" s="354" t="s">
        <v>611</v>
      </c>
      <c r="D696" s="354" t="s">
        <v>608</v>
      </c>
      <c r="E696" s="450" t="s">
        <v>368</v>
      </c>
      <c r="F696" s="450"/>
      <c r="G696" s="591">
        <f>G703+G697+G706+G711</f>
        <v>3393.7263400000002</v>
      </c>
      <c r="H696" s="591">
        <f>H703+H697+H706+H711</f>
        <v>0</v>
      </c>
      <c r="I696" s="591">
        <f>I703+I697+I706+I711</f>
        <v>4400.9815600000002</v>
      </c>
      <c r="J696" s="591">
        <f>J703+J697+J706+J711</f>
        <v>0</v>
      </c>
      <c r="K696" s="591">
        <f t="shared" si="204"/>
        <v>1007.25522</v>
      </c>
      <c r="L696" s="591">
        <f t="shared" si="205"/>
        <v>0</v>
      </c>
      <c r="M696" s="217">
        <f t="shared" si="195"/>
        <v>0</v>
      </c>
      <c r="N696" s="312">
        <f>N703+N697</f>
        <v>1979.3999999999999</v>
      </c>
      <c r="P696" s="313"/>
      <c r="Q696" s="313"/>
      <c r="R696" s="591">
        <f>R703+R697+R706</f>
        <v>3456.8778699999998</v>
      </c>
      <c r="S696" s="591">
        <f>S703+S697+S706</f>
        <v>0</v>
      </c>
      <c r="T696" s="309">
        <f t="shared" si="236"/>
        <v>1007.25522</v>
      </c>
      <c r="U696" s="498">
        <f>U703+U697+U706</f>
        <v>3386.9780000000001</v>
      </c>
      <c r="V696" s="498">
        <f>V703+V697+V706</f>
        <v>0</v>
      </c>
      <c r="W696" s="310">
        <f t="shared" si="237"/>
        <v>-1007.25522</v>
      </c>
      <c r="X696" s="310">
        <f t="shared" si="238"/>
        <v>0</v>
      </c>
    </row>
    <row r="697" spans="1:24" s="307" customFormat="1" ht="25.5" x14ac:dyDescent="0.2">
      <c r="A697" s="746" t="s">
        <v>649</v>
      </c>
      <c r="B697" s="306" t="s">
        <v>7</v>
      </c>
      <c r="C697" s="354" t="s">
        <v>611</v>
      </c>
      <c r="D697" s="354" t="s">
        <v>608</v>
      </c>
      <c r="E697" s="450" t="s">
        <v>558</v>
      </c>
      <c r="F697" s="450"/>
      <c r="G697" s="591">
        <f>SUM(G698:G702)</f>
        <v>867.39499999999998</v>
      </c>
      <c r="H697" s="591">
        <f>SUM(H698:H702)</f>
        <v>0</v>
      </c>
      <c r="I697" s="591">
        <f>SUM(I698:I702)</f>
        <v>1017.87559</v>
      </c>
      <c r="J697" s="591">
        <f>SUM(J698:J702)</f>
        <v>0</v>
      </c>
      <c r="K697" s="591">
        <f t="shared" si="204"/>
        <v>150.48059000000001</v>
      </c>
      <c r="L697" s="591">
        <f t="shared" si="205"/>
        <v>0</v>
      </c>
      <c r="M697" s="217">
        <f t="shared" si="195"/>
        <v>0</v>
      </c>
      <c r="N697" s="292">
        <f>SUM(N698:N702)</f>
        <v>1370.1</v>
      </c>
      <c r="R697" s="591">
        <f>SUM(R698:R702)</f>
        <v>1025.5919999999999</v>
      </c>
      <c r="S697" s="591">
        <f>SUM(S698:S702)</f>
        <v>0</v>
      </c>
      <c r="T697" s="309">
        <f t="shared" si="236"/>
        <v>150.48059000000001</v>
      </c>
      <c r="U697" s="498">
        <f>SUM(U698:U702)</f>
        <v>1816.8799999999999</v>
      </c>
      <c r="V697" s="498">
        <f>SUM(V698:V702)</f>
        <v>0</v>
      </c>
      <c r="W697" s="310">
        <f t="shared" si="237"/>
        <v>-150.48059000000001</v>
      </c>
      <c r="X697" s="310">
        <f t="shared" si="238"/>
        <v>0</v>
      </c>
    </row>
    <row r="698" spans="1:24" ht="15" x14ac:dyDescent="0.2">
      <c r="A698" s="739" t="s">
        <v>657</v>
      </c>
      <c r="B698" s="243" t="s">
        <v>7</v>
      </c>
      <c r="C698" s="353" t="s">
        <v>611</v>
      </c>
      <c r="D698" s="353" t="s">
        <v>608</v>
      </c>
      <c r="E698" s="369" t="s">
        <v>558</v>
      </c>
      <c r="F698" s="369" t="s">
        <v>189</v>
      </c>
      <c r="G698" s="288">
        <v>660.97900000000004</v>
      </c>
      <c r="H698" s="288"/>
      <c r="I698" s="288">
        <v>778.24176</v>
      </c>
      <c r="J698" s="288"/>
      <c r="K698" s="43">
        <f t="shared" si="204"/>
        <v>117.26275999999996</v>
      </c>
      <c r="L698" s="43">
        <f t="shared" si="205"/>
        <v>0</v>
      </c>
      <c r="M698" s="217">
        <f t="shared" si="195"/>
        <v>0</v>
      </c>
      <c r="N698" s="43">
        <f>1362.7-316.1</f>
        <v>1046.5999999999999</v>
      </c>
      <c r="P698" s="43">
        <v>1414.4</v>
      </c>
      <c r="Q698" s="258"/>
      <c r="R698" s="288">
        <v>782.55899999999997</v>
      </c>
      <c r="S698" s="288"/>
      <c r="T698" s="217">
        <f t="shared" si="236"/>
        <v>117.26275999999996</v>
      </c>
      <c r="U698" s="288">
        <v>1390.0329999999999</v>
      </c>
      <c r="V698" s="288">
        <v>0</v>
      </c>
      <c r="W698" s="203">
        <f t="shared" si="237"/>
        <v>-117.26275999999996</v>
      </c>
      <c r="X698" s="203">
        <f t="shared" si="238"/>
        <v>0</v>
      </c>
    </row>
    <row r="699" spans="1:24" ht="12.75" hidden="1" customHeight="1" x14ac:dyDescent="0.2">
      <c r="A699" s="124" t="s">
        <v>656</v>
      </c>
      <c r="B699" s="243" t="s">
        <v>7</v>
      </c>
      <c r="C699" s="353" t="s">
        <v>611</v>
      </c>
      <c r="D699" s="353" t="s">
        <v>608</v>
      </c>
      <c r="E699" s="369" t="s">
        <v>558</v>
      </c>
      <c r="F699" s="369" t="s">
        <v>232</v>
      </c>
      <c r="G699" s="288"/>
      <c r="H699" s="288"/>
      <c r="I699" s="288"/>
      <c r="J699" s="288"/>
      <c r="K699" s="43">
        <f t="shared" si="204"/>
        <v>0</v>
      </c>
      <c r="L699" s="43">
        <f t="shared" si="205"/>
        <v>0</v>
      </c>
      <c r="M699" s="217">
        <f t="shared" si="195"/>
        <v>0</v>
      </c>
      <c r="N699" s="43">
        <v>316.10000000000002</v>
      </c>
      <c r="P699" s="43"/>
      <c r="Q699" s="258"/>
      <c r="R699" s="288"/>
      <c r="S699" s="288"/>
      <c r="T699" s="217">
        <f t="shared" si="236"/>
        <v>0</v>
      </c>
      <c r="U699" s="288"/>
      <c r="V699" s="288"/>
      <c r="W699" s="203">
        <f t="shared" si="237"/>
        <v>0</v>
      </c>
      <c r="X699" s="203">
        <f t="shared" si="238"/>
        <v>0</v>
      </c>
    </row>
    <row r="700" spans="1:24" ht="25.5" x14ac:dyDescent="0.2">
      <c r="A700" s="739" t="s">
        <v>534</v>
      </c>
      <c r="B700" s="243" t="s">
        <v>7</v>
      </c>
      <c r="C700" s="353" t="s">
        <v>611</v>
      </c>
      <c r="D700" s="353" t="s">
        <v>608</v>
      </c>
      <c r="E700" s="369" t="s">
        <v>558</v>
      </c>
      <c r="F700" s="369" t="s">
        <v>535</v>
      </c>
      <c r="G700" s="288">
        <v>199.61600000000001</v>
      </c>
      <c r="H700" s="288"/>
      <c r="I700" s="288">
        <v>232.83383000000001</v>
      </c>
      <c r="J700" s="288"/>
      <c r="K700" s="43">
        <f t="shared" si="204"/>
        <v>33.217829999999992</v>
      </c>
      <c r="L700" s="43">
        <f t="shared" si="205"/>
        <v>0</v>
      </c>
      <c r="M700" s="217">
        <f t="shared" si="195"/>
        <v>0</v>
      </c>
      <c r="N700" s="43">
        <v>0</v>
      </c>
      <c r="P700" s="43">
        <v>427.1</v>
      </c>
      <c r="Q700" s="258"/>
      <c r="R700" s="288">
        <v>236.333</v>
      </c>
      <c r="S700" s="288"/>
      <c r="T700" s="217">
        <f t="shared" si="236"/>
        <v>33.217829999999992</v>
      </c>
      <c r="U700" s="288">
        <v>419.84699999999998</v>
      </c>
      <c r="V700" s="288">
        <v>0</v>
      </c>
      <c r="W700" s="203">
        <f t="shared" si="237"/>
        <v>-33.217829999999992</v>
      </c>
      <c r="X700" s="203">
        <f t="shared" si="238"/>
        <v>0</v>
      </c>
    </row>
    <row r="701" spans="1:24" ht="15" x14ac:dyDescent="0.2">
      <c r="A701" s="739" t="s">
        <v>233</v>
      </c>
      <c r="B701" s="243" t="s">
        <v>7</v>
      </c>
      <c r="C701" s="353" t="s">
        <v>611</v>
      </c>
      <c r="D701" s="353" t="s">
        <v>608</v>
      </c>
      <c r="E701" s="369" t="s">
        <v>558</v>
      </c>
      <c r="F701" s="369" t="s">
        <v>635</v>
      </c>
      <c r="G701" s="288">
        <v>6.8</v>
      </c>
      <c r="H701" s="288"/>
      <c r="I701" s="288">
        <v>6.8</v>
      </c>
      <c r="J701" s="288"/>
      <c r="K701" s="43">
        <f t="shared" si="204"/>
        <v>0</v>
      </c>
      <c r="L701" s="43">
        <f t="shared" si="205"/>
        <v>0</v>
      </c>
      <c r="M701" s="217">
        <f t="shared" si="195"/>
        <v>0</v>
      </c>
      <c r="N701" s="43">
        <v>7.4</v>
      </c>
      <c r="P701" s="43">
        <v>4.4000000000000004</v>
      </c>
      <c r="Q701" s="258"/>
      <c r="R701" s="288">
        <v>6.7</v>
      </c>
      <c r="S701" s="288"/>
      <c r="T701" s="217">
        <f t="shared" si="236"/>
        <v>0</v>
      </c>
      <c r="U701" s="288">
        <v>7</v>
      </c>
      <c r="V701" s="288">
        <v>0</v>
      </c>
      <c r="W701" s="203">
        <f t="shared" si="237"/>
        <v>0</v>
      </c>
      <c r="X701" s="203">
        <f t="shared" si="238"/>
        <v>0</v>
      </c>
    </row>
    <row r="702" spans="1:24" ht="12" hidden="1" customHeight="1" x14ac:dyDescent="0.2">
      <c r="A702" s="124" t="s">
        <v>834</v>
      </c>
      <c r="B702" s="243" t="s">
        <v>7</v>
      </c>
      <c r="C702" s="353" t="s">
        <v>611</v>
      </c>
      <c r="D702" s="353" t="s">
        <v>608</v>
      </c>
      <c r="E702" s="369" t="s">
        <v>558</v>
      </c>
      <c r="F702" s="369" t="s">
        <v>634</v>
      </c>
      <c r="G702" s="288"/>
      <c r="H702" s="288"/>
      <c r="I702" s="288"/>
      <c r="J702" s="288"/>
      <c r="K702" s="43">
        <f t="shared" si="204"/>
        <v>0</v>
      </c>
      <c r="L702" s="43">
        <f t="shared" si="205"/>
        <v>0</v>
      </c>
      <c r="M702" s="217">
        <f t="shared" si="195"/>
        <v>0</v>
      </c>
      <c r="N702" s="43">
        <v>0</v>
      </c>
      <c r="R702" s="288"/>
      <c r="S702" s="288"/>
      <c r="T702" s="217">
        <f t="shared" si="236"/>
        <v>0</v>
      </c>
      <c r="U702" s="288"/>
      <c r="V702" s="288"/>
      <c r="W702" s="203">
        <f t="shared" si="237"/>
        <v>0</v>
      </c>
      <c r="X702" s="203">
        <f t="shared" si="238"/>
        <v>0</v>
      </c>
    </row>
    <row r="703" spans="1:24" s="307" customFormat="1" ht="15" x14ac:dyDescent="0.2">
      <c r="A703" s="746" t="s">
        <v>643</v>
      </c>
      <c r="B703" s="306" t="s">
        <v>7</v>
      </c>
      <c r="C703" s="354" t="s">
        <v>611</v>
      </c>
      <c r="D703" s="354" t="s">
        <v>608</v>
      </c>
      <c r="E703" s="450" t="s">
        <v>559</v>
      </c>
      <c r="F703" s="450"/>
      <c r="G703" s="591">
        <f>SUM(G704:G705)</f>
        <v>910.06234000000006</v>
      </c>
      <c r="H703" s="591">
        <f>SUM(H704:H705)</f>
        <v>0</v>
      </c>
      <c r="I703" s="591">
        <f>SUM(I704:I705)</f>
        <v>879.64655000000005</v>
      </c>
      <c r="J703" s="591">
        <f>SUM(J704:J705)</f>
        <v>0</v>
      </c>
      <c r="K703" s="591">
        <f t="shared" si="204"/>
        <v>-30.415790000000015</v>
      </c>
      <c r="L703" s="591">
        <f t="shared" si="205"/>
        <v>0</v>
      </c>
      <c r="M703" s="217">
        <f t="shared" si="195"/>
        <v>0</v>
      </c>
      <c r="N703" s="292">
        <f>SUM(N704:N705)</f>
        <v>609.29999999999995</v>
      </c>
      <c r="R703" s="591">
        <f>SUM(R704:R705)</f>
        <v>482.88787000000002</v>
      </c>
      <c r="S703" s="591">
        <f>SUM(S704:S705)</f>
        <v>0</v>
      </c>
      <c r="T703" s="309">
        <f t="shared" si="236"/>
        <v>-30.415790000000015</v>
      </c>
      <c r="U703" s="498">
        <f>SUM(U704:U705)</f>
        <v>766.21600000000001</v>
      </c>
      <c r="V703" s="498">
        <f>SUM(V704:V705)</f>
        <v>0</v>
      </c>
      <c r="W703" s="310">
        <f t="shared" si="237"/>
        <v>30.415790000000015</v>
      </c>
      <c r="X703" s="310">
        <f t="shared" si="238"/>
        <v>0</v>
      </c>
    </row>
    <row r="704" spans="1:24" ht="15" x14ac:dyDescent="0.2">
      <c r="A704" s="739" t="s">
        <v>523</v>
      </c>
      <c r="B704" s="243" t="s">
        <v>7</v>
      </c>
      <c r="C704" s="353" t="s">
        <v>611</v>
      </c>
      <c r="D704" s="353" t="s">
        <v>608</v>
      </c>
      <c r="E704" s="369" t="s">
        <v>559</v>
      </c>
      <c r="F704" s="369" t="s">
        <v>129</v>
      </c>
      <c r="G704" s="288">
        <v>698.97238000000004</v>
      </c>
      <c r="H704" s="288"/>
      <c r="I704" s="288">
        <v>682.56924000000004</v>
      </c>
      <c r="J704" s="288"/>
      <c r="K704" s="43">
        <f t="shared" si="204"/>
        <v>-16.403140000000008</v>
      </c>
      <c r="L704" s="43">
        <f t="shared" si="205"/>
        <v>0</v>
      </c>
      <c r="M704" s="217">
        <f t="shared" si="195"/>
        <v>0</v>
      </c>
      <c r="N704" s="43">
        <f>609.3-141.3</f>
        <v>467.99999999999994</v>
      </c>
      <c r="R704" s="288">
        <v>370.88132999999999</v>
      </c>
      <c r="S704" s="288"/>
      <c r="T704" s="217">
        <f t="shared" si="236"/>
        <v>-16.403140000000008</v>
      </c>
      <c r="U704" s="288">
        <v>588.45299999999997</v>
      </c>
      <c r="V704" s="288">
        <v>0</v>
      </c>
      <c r="W704" s="203">
        <f t="shared" si="237"/>
        <v>16.403140000000008</v>
      </c>
      <c r="X704" s="203">
        <f t="shared" si="238"/>
        <v>0</v>
      </c>
    </row>
    <row r="705" spans="1:24" ht="25.5" x14ac:dyDescent="0.2">
      <c r="A705" s="739" t="s">
        <v>572</v>
      </c>
      <c r="B705" s="243" t="s">
        <v>7</v>
      </c>
      <c r="C705" s="353" t="s">
        <v>611</v>
      </c>
      <c r="D705" s="353" t="s">
        <v>608</v>
      </c>
      <c r="E705" s="369" t="s">
        <v>559</v>
      </c>
      <c r="F705" s="369" t="s">
        <v>524</v>
      </c>
      <c r="G705" s="288">
        <v>211.08995999999999</v>
      </c>
      <c r="H705" s="288"/>
      <c r="I705" s="288">
        <v>197.07731000000001</v>
      </c>
      <c r="J705" s="288"/>
      <c r="K705" s="43">
        <f t="shared" ref="K705:K771" si="239">I705-G705</f>
        <v>-14.012649999999979</v>
      </c>
      <c r="L705" s="43">
        <f t="shared" ref="L705:L771" si="240">J705-H705</f>
        <v>0</v>
      </c>
      <c r="M705" s="217">
        <f t="shared" si="195"/>
        <v>0</v>
      </c>
      <c r="N705" s="43">
        <v>141.30000000000001</v>
      </c>
      <c r="R705" s="288">
        <v>112.00654</v>
      </c>
      <c r="S705" s="288"/>
      <c r="T705" s="217">
        <f t="shared" si="236"/>
        <v>-14.012649999999979</v>
      </c>
      <c r="U705" s="288">
        <v>177.76300000000001</v>
      </c>
      <c r="V705" s="288">
        <v>0</v>
      </c>
      <c r="W705" s="203">
        <f t="shared" si="237"/>
        <v>14.012649999999979</v>
      </c>
      <c r="X705" s="203">
        <f t="shared" si="238"/>
        <v>0</v>
      </c>
    </row>
    <row r="706" spans="1:24" s="307" customFormat="1" ht="15" x14ac:dyDescent="0.2">
      <c r="A706" s="746" t="s">
        <v>1050</v>
      </c>
      <c r="B706" s="306" t="s">
        <v>7</v>
      </c>
      <c r="C706" s="354" t="s">
        <v>611</v>
      </c>
      <c r="D706" s="354" t="s">
        <v>608</v>
      </c>
      <c r="E706" s="719" t="s">
        <v>2013</v>
      </c>
      <c r="F706" s="450"/>
      <c r="G706" s="591">
        <f>SUM(G707:G710)</f>
        <v>0</v>
      </c>
      <c r="H706" s="591">
        <f>SUM(H707:H710)</f>
        <v>0</v>
      </c>
      <c r="I706" s="591">
        <f>SUM(I707:I710)</f>
        <v>1037.67101</v>
      </c>
      <c r="J706" s="591">
        <f>SUM(J707:J710)</f>
        <v>0</v>
      </c>
      <c r="K706" s="591">
        <f t="shared" si="239"/>
        <v>1037.67101</v>
      </c>
      <c r="L706" s="591">
        <f t="shared" si="240"/>
        <v>0</v>
      </c>
      <c r="M706" s="217">
        <f t="shared" si="195"/>
        <v>0</v>
      </c>
      <c r="N706" s="292"/>
      <c r="R706" s="591">
        <f>SUM(R707:R710)</f>
        <v>1948.3979999999999</v>
      </c>
      <c r="S706" s="591">
        <f>SUM(S707:S710)</f>
        <v>0</v>
      </c>
      <c r="T706" s="309"/>
      <c r="U706" s="498">
        <f>SUM(U707:U710)</f>
        <v>803.88199999999995</v>
      </c>
      <c r="V706" s="498">
        <f>SUM(V707:V710)</f>
        <v>0</v>
      </c>
      <c r="W706" s="310">
        <f t="shared" si="237"/>
        <v>-1037.67101</v>
      </c>
      <c r="X706" s="310">
        <f t="shared" si="238"/>
        <v>0</v>
      </c>
    </row>
    <row r="707" spans="1:24" ht="15" x14ac:dyDescent="0.2">
      <c r="A707" s="739" t="s">
        <v>657</v>
      </c>
      <c r="B707" s="243" t="s">
        <v>7</v>
      </c>
      <c r="C707" s="353" t="s">
        <v>611</v>
      </c>
      <c r="D707" s="353" t="s">
        <v>608</v>
      </c>
      <c r="E707" s="369" t="s">
        <v>2013</v>
      </c>
      <c r="F707" s="369" t="s">
        <v>189</v>
      </c>
      <c r="G707" s="288"/>
      <c r="H707" s="288"/>
      <c r="I707" s="288">
        <v>580.96799999999996</v>
      </c>
      <c r="J707" s="288"/>
      <c r="K707" s="43">
        <f t="shared" si="239"/>
        <v>580.96799999999996</v>
      </c>
      <c r="L707" s="43">
        <f t="shared" si="240"/>
        <v>0</v>
      </c>
      <c r="M707" s="217">
        <f t="shared" ref="M707:M777" si="241">I707-G707-K707</f>
        <v>0</v>
      </c>
      <c r="N707" s="43"/>
      <c r="R707" s="288">
        <v>1009.128</v>
      </c>
      <c r="S707" s="288"/>
      <c r="T707" s="217"/>
      <c r="U707" s="288">
        <v>374.13499999999999</v>
      </c>
      <c r="V707" s="288"/>
      <c r="W707" s="203">
        <f t="shared" si="237"/>
        <v>-580.96799999999996</v>
      </c>
      <c r="X707" s="203">
        <f t="shared" si="238"/>
        <v>0</v>
      </c>
    </row>
    <row r="708" spans="1:24" ht="25.5" x14ac:dyDescent="0.2">
      <c r="A708" s="739" t="s">
        <v>534</v>
      </c>
      <c r="B708" s="243" t="s">
        <v>7</v>
      </c>
      <c r="C708" s="353" t="s">
        <v>611</v>
      </c>
      <c r="D708" s="353" t="s">
        <v>608</v>
      </c>
      <c r="E708" s="369" t="s">
        <v>2013</v>
      </c>
      <c r="F708" s="369" t="s">
        <v>535</v>
      </c>
      <c r="G708" s="288"/>
      <c r="H708" s="288"/>
      <c r="I708" s="288">
        <v>181.75399999999999</v>
      </c>
      <c r="J708" s="288"/>
      <c r="K708" s="43">
        <f t="shared" si="239"/>
        <v>181.75399999999999</v>
      </c>
      <c r="L708" s="43">
        <f t="shared" si="240"/>
        <v>0</v>
      </c>
      <c r="M708" s="217">
        <f t="shared" si="241"/>
        <v>0</v>
      </c>
      <c r="N708" s="43"/>
      <c r="R708" s="288">
        <v>304.75700000000001</v>
      </c>
      <c r="S708" s="288"/>
      <c r="T708" s="217"/>
      <c r="U708" s="288">
        <v>112.988</v>
      </c>
      <c r="V708" s="288"/>
      <c r="W708" s="203">
        <f t="shared" si="237"/>
        <v>-181.75399999999999</v>
      </c>
      <c r="X708" s="203">
        <f t="shared" si="238"/>
        <v>0</v>
      </c>
    </row>
    <row r="709" spans="1:24" ht="15" x14ac:dyDescent="0.2">
      <c r="A709" s="739" t="s">
        <v>523</v>
      </c>
      <c r="B709" s="243" t="s">
        <v>7</v>
      </c>
      <c r="C709" s="353" t="s">
        <v>611</v>
      </c>
      <c r="D709" s="353" t="s">
        <v>608</v>
      </c>
      <c r="E709" s="369" t="s">
        <v>2013</v>
      </c>
      <c r="F709" s="369" t="s">
        <v>129</v>
      </c>
      <c r="G709" s="288"/>
      <c r="H709" s="288"/>
      <c r="I709" s="288">
        <v>187.11179000000001</v>
      </c>
      <c r="J709" s="288"/>
      <c r="K709" s="43">
        <f t="shared" si="239"/>
        <v>187.11179000000001</v>
      </c>
      <c r="L709" s="43">
        <f t="shared" si="240"/>
        <v>0</v>
      </c>
      <c r="M709" s="217">
        <f t="shared" si="241"/>
        <v>0</v>
      </c>
      <c r="N709" s="43"/>
      <c r="R709" s="288">
        <v>487.33699999999999</v>
      </c>
      <c r="S709" s="288"/>
      <c r="T709" s="217"/>
      <c r="U709" s="288">
        <v>243.28700000000001</v>
      </c>
      <c r="V709" s="288"/>
      <c r="W709" s="203">
        <f t="shared" si="237"/>
        <v>-187.11179000000001</v>
      </c>
      <c r="X709" s="203">
        <f t="shared" si="238"/>
        <v>0</v>
      </c>
    </row>
    <row r="710" spans="1:24" ht="25.5" x14ac:dyDescent="0.2">
      <c r="A710" s="739" t="s">
        <v>572</v>
      </c>
      <c r="B710" s="243" t="s">
        <v>7</v>
      </c>
      <c r="C710" s="353" t="s">
        <v>611</v>
      </c>
      <c r="D710" s="353" t="s">
        <v>608</v>
      </c>
      <c r="E710" s="369" t="s">
        <v>2013</v>
      </c>
      <c r="F710" s="369" t="s">
        <v>524</v>
      </c>
      <c r="G710" s="288"/>
      <c r="H710" s="288"/>
      <c r="I710" s="288">
        <v>87.837220000000002</v>
      </c>
      <c r="J710" s="288"/>
      <c r="K710" s="43">
        <f t="shared" si="239"/>
        <v>87.837220000000002</v>
      </c>
      <c r="L710" s="43">
        <f t="shared" si="240"/>
        <v>0</v>
      </c>
      <c r="M710" s="217">
        <f t="shared" si="241"/>
        <v>0</v>
      </c>
      <c r="N710" s="43"/>
      <c r="R710" s="288">
        <v>147.17599999999999</v>
      </c>
      <c r="S710" s="288"/>
      <c r="T710" s="217"/>
      <c r="U710" s="288">
        <v>73.471999999999994</v>
      </c>
      <c r="V710" s="288"/>
      <c r="W710" s="203">
        <f t="shared" si="237"/>
        <v>-87.837220000000002</v>
      </c>
      <c r="X710" s="203">
        <f t="shared" si="238"/>
        <v>0</v>
      </c>
    </row>
    <row r="711" spans="1:24" ht="15" x14ac:dyDescent="0.2">
      <c r="A711" s="746" t="s">
        <v>1383</v>
      </c>
      <c r="B711" s="306" t="s">
        <v>7</v>
      </c>
      <c r="C711" s="354" t="s">
        <v>611</v>
      </c>
      <c r="D711" s="354" t="s">
        <v>608</v>
      </c>
      <c r="E711" s="642" t="s">
        <v>1817</v>
      </c>
      <c r="F711" s="640"/>
      <c r="G711" s="591">
        <f t="shared" ref="G711:L711" si="242">G712+G713+G714+G715</f>
        <v>1616.269</v>
      </c>
      <c r="H711" s="591">
        <f t="shared" si="242"/>
        <v>0</v>
      </c>
      <c r="I711" s="591">
        <f t="shared" si="242"/>
        <v>1465.7884099999999</v>
      </c>
      <c r="J711" s="591">
        <f t="shared" si="242"/>
        <v>0</v>
      </c>
      <c r="K711" s="591">
        <f t="shared" si="242"/>
        <v>-150.48059000000006</v>
      </c>
      <c r="L711" s="591">
        <f t="shared" si="242"/>
        <v>0</v>
      </c>
      <c r="M711" s="217"/>
      <c r="N711" s="43"/>
      <c r="R711" s="288"/>
      <c r="S711" s="288"/>
      <c r="T711" s="217"/>
      <c r="U711" s="288"/>
      <c r="V711" s="288"/>
      <c r="W711" s="203"/>
      <c r="X711" s="203"/>
    </row>
    <row r="712" spans="1:24" ht="15" x14ac:dyDescent="0.2">
      <c r="A712" s="739" t="s">
        <v>657</v>
      </c>
      <c r="B712" s="243" t="s">
        <v>7</v>
      </c>
      <c r="C712" s="353" t="s">
        <v>611</v>
      </c>
      <c r="D712" s="353" t="s">
        <v>608</v>
      </c>
      <c r="E712" s="369" t="s">
        <v>1817</v>
      </c>
      <c r="F712" s="369" t="s">
        <v>189</v>
      </c>
      <c r="G712" s="288">
        <v>1153.442</v>
      </c>
      <c r="H712" s="288"/>
      <c r="I712" s="288">
        <v>1036.1792399999999</v>
      </c>
      <c r="J712" s="288"/>
      <c r="K712" s="43">
        <f t="shared" si="239"/>
        <v>-117.26276000000007</v>
      </c>
      <c r="L712" s="43">
        <f t="shared" si="240"/>
        <v>0</v>
      </c>
      <c r="M712" s="217"/>
      <c r="N712" s="43"/>
      <c r="R712" s="288"/>
      <c r="S712" s="288"/>
      <c r="T712" s="217"/>
      <c r="U712" s="288"/>
      <c r="V712" s="288"/>
      <c r="W712" s="203"/>
      <c r="X712" s="203"/>
    </row>
    <row r="713" spans="1:24" ht="25.5" x14ac:dyDescent="0.2">
      <c r="A713" s="739" t="s">
        <v>534</v>
      </c>
      <c r="B713" s="243" t="s">
        <v>7</v>
      </c>
      <c r="C713" s="353" t="s">
        <v>611</v>
      </c>
      <c r="D713" s="353" t="s">
        <v>608</v>
      </c>
      <c r="E713" s="369" t="s">
        <v>1817</v>
      </c>
      <c r="F713" s="369" t="s">
        <v>535</v>
      </c>
      <c r="G713" s="288">
        <v>348.339</v>
      </c>
      <c r="H713" s="288"/>
      <c r="I713" s="288">
        <v>315.12117000000001</v>
      </c>
      <c r="J713" s="288"/>
      <c r="K713" s="43">
        <f t="shared" si="239"/>
        <v>-33.217829999999992</v>
      </c>
      <c r="L713" s="43">
        <f t="shared" si="240"/>
        <v>0</v>
      </c>
      <c r="M713" s="217"/>
      <c r="N713" s="43"/>
      <c r="R713" s="288"/>
      <c r="S713" s="288"/>
      <c r="T713" s="217"/>
      <c r="U713" s="288"/>
      <c r="V713" s="288"/>
      <c r="W713" s="203"/>
      <c r="X713" s="203"/>
    </row>
    <row r="714" spans="1:24" ht="15" x14ac:dyDescent="0.2">
      <c r="A714" s="739" t="s">
        <v>523</v>
      </c>
      <c r="B714" s="243" t="s">
        <v>7</v>
      </c>
      <c r="C714" s="353" t="s">
        <v>611</v>
      </c>
      <c r="D714" s="353" t="s">
        <v>608</v>
      </c>
      <c r="E714" s="369" t="s">
        <v>1817</v>
      </c>
      <c r="F714" s="369" t="s">
        <v>129</v>
      </c>
      <c r="G714" s="288">
        <v>87.932000000000002</v>
      </c>
      <c r="H714" s="288"/>
      <c r="I714" s="288">
        <v>87.932000000000002</v>
      </c>
      <c r="J714" s="288"/>
      <c r="K714" s="43">
        <f>I714-G714</f>
        <v>0</v>
      </c>
      <c r="L714" s="43">
        <f>J714-H714</f>
        <v>0</v>
      </c>
      <c r="M714" s="217"/>
      <c r="N714" s="43"/>
      <c r="R714" s="288"/>
      <c r="S714" s="288"/>
      <c r="T714" s="217"/>
      <c r="U714" s="288"/>
      <c r="V714" s="288"/>
      <c r="W714" s="203"/>
      <c r="X714" s="203"/>
    </row>
    <row r="715" spans="1:24" ht="25.5" x14ac:dyDescent="0.2">
      <c r="A715" s="739" t="s">
        <v>572</v>
      </c>
      <c r="B715" s="243" t="s">
        <v>7</v>
      </c>
      <c r="C715" s="353" t="s">
        <v>611</v>
      </c>
      <c r="D715" s="353" t="s">
        <v>608</v>
      </c>
      <c r="E715" s="369" t="s">
        <v>1817</v>
      </c>
      <c r="F715" s="369" t="s">
        <v>524</v>
      </c>
      <c r="G715" s="288">
        <v>26.556000000000001</v>
      </c>
      <c r="H715" s="288"/>
      <c r="I715" s="288">
        <v>26.556000000000001</v>
      </c>
      <c r="J715" s="288"/>
      <c r="K715" s="43">
        <f>I715-G715</f>
        <v>0</v>
      </c>
      <c r="L715" s="43">
        <f>J715-H715</f>
        <v>0</v>
      </c>
      <c r="M715" s="217"/>
      <c r="N715" s="43"/>
      <c r="R715" s="288"/>
      <c r="S715" s="288"/>
      <c r="T715" s="217"/>
      <c r="U715" s="288"/>
      <c r="V715" s="288"/>
      <c r="W715" s="203"/>
      <c r="X715" s="203"/>
    </row>
    <row r="716" spans="1:24" ht="25.5" hidden="1" x14ac:dyDescent="0.2">
      <c r="A716" s="121" t="s">
        <v>1205</v>
      </c>
      <c r="B716" s="306" t="s">
        <v>7</v>
      </c>
      <c r="C716" s="354" t="s">
        <v>611</v>
      </c>
      <c r="D716" s="354" t="s">
        <v>608</v>
      </c>
      <c r="E716" s="377">
        <v>8900000000</v>
      </c>
      <c r="F716" s="450"/>
      <c r="G716" s="498">
        <f t="shared" ref="G716:J718" si="243">G717</f>
        <v>0</v>
      </c>
      <c r="H716" s="498">
        <f t="shared" si="243"/>
        <v>0</v>
      </c>
      <c r="I716" s="591">
        <f t="shared" si="243"/>
        <v>0</v>
      </c>
      <c r="J716" s="591">
        <f t="shared" si="243"/>
        <v>0</v>
      </c>
      <c r="K716" s="591">
        <f t="shared" si="239"/>
        <v>0</v>
      </c>
      <c r="L716" s="591">
        <f t="shared" si="240"/>
        <v>0</v>
      </c>
      <c r="M716" s="217">
        <f t="shared" si="241"/>
        <v>0</v>
      </c>
      <c r="N716" s="43"/>
      <c r="R716" s="591">
        <f t="shared" ref="R716:S718" si="244">R717</f>
        <v>0</v>
      </c>
      <c r="S716" s="591">
        <f t="shared" si="244"/>
        <v>0</v>
      </c>
      <c r="T716" s="217"/>
      <c r="U716" s="498">
        <f t="shared" ref="U716:V718" si="245">U717</f>
        <v>77630.566000000006</v>
      </c>
      <c r="V716" s="498">
        <f t="shared" si="245"/>
        <v>75055.269650000002</v>
      </c>
      <c r="W716" s="203"/>
      <c r="X716" s="203"/>
    </row>
    <row r="717" spans="1:24" ht="15" hidden="1" x14ac:dyDescent="0.2">
      <c r="A717" s="121" t="s">
        <v>1284</v>
      </c>
      <c r="B717" s="306" t="s">
        <v>7</v>
      </c>
      <c r="C717" s="354" t="s">
        <v>611</v>
      </c>
      <c r="D717" s="354" t="s">
        <v>608</v>
      </c>
      <c r="E717" s="377">
        <v>8900500000</v>
      </c>
      <c r="F717" s="450"/>
      <c r="G717" s="498">
        <f t="shared" si="243"/>
        <v>0</v>
      </c>
      <c r="H717" s="498">
        <f t="shared" si="243"/>
        <v>0</v>
      </c>
      <c r="I717" s="591">
        <f t="shared" si="243"/>
        <v>0</v>
      </c>
      <c r="J717" s="591">
        <f t="shared" si="243"/>
        <v>0</v>
      </c>
      <c r="K717" s="591">
        <f t="shared" si="239"/>
        <v>0</v>
      </c>
      <c r="L717" s="591">
        <f t="shared" si="240"/>
        <v>0</v>
      </c>
      <c r="M717" s="217">
        <f t="shared" si="241"/>
        <v>0</v>
      </c>
      <c r="N717" s="43"/>
      <c r="R717" s="591">
        <f t="shared" si="244"/>
        <v>0</v>
      </c>
      <c r="S717" s="591">
        <f t="shared" si="244"/>
        <v>0</v>
      </c>
      <c r="T717" s="217"/>
      <c r="U717" s="498">
        <f t="shared" si="245"/>
        <v>77630.566000000006</v>
      </c>
      <c r="V717" s="498">
        <f t="shared" si="245"/>
        <v>75055.269650000002</v>
      </c>
      <c r="W717" s="203"/>
      <c r="X717" s="203"/>
    </row>
    <row r="718" spans="1:24" ht="15" hidden="1" x14ac:dyDescent="0.2">
      <c r="A718" s="121" t="s">
        <v>1285</v>
      </c>
      <c r="B718" s="306" t="s">
        <v>7</v>
      </c>
      <c r="C718" s="354" t="s">
        <v>611</v>
      </c>
      <c r="D718" s="354" t="s">
        <v>608</v>
      </c>
      <c r="E718" s="377" t="s">
        <v>1286</v>
      </c>
      <c r="F718" s="450"/>
      <c r="G718" s="498">
        <f t="shared" si="243"/>
        <v>0</v>
      </c>
      <c r="H718" s="498">
        <f t="shared" si="243"/>
        <v>0</v>
      </c>
      <c r="I718" s="591">
        <f t="shared" si="243"/>
        <v>0</v>
      </c>
      <c r="J718" s="591">
        <f t="shared" si="243"/>
        <v>0</v>
      </c>
      <c r="K718" s="591">
        <f t="shared" si="239"/>
        <v>0</v>
      </c>
      <c r="L718" s="591">
        <f t="shared" si="240"/>
        <v>0</v>
      </c>
      <c r="M718" s="217">
        <f t="shared" si="241"/>
        <v>0</v>
      </c>
      <c r="N718" s="43"/>
      <c r="R718" s="591">
        <f t="shared" si="244"/>
        <v>0</v>
      </c>
      <c r="S718" s="591">
        <f t="shared" si="244"/>
        <v>0</v>
      </c>
      <c r="T718" s="217"/>
      <c r="U718" s="498">
        <f t="shared" si="245"/>
        <v>77630.566000000006</v>
      </c>
      <c r="V718" s="498">
        <f t="shared" si="245"/>
        <v>75055.269650000002</v>
      </c>
      <c r="W718" s="203"/>
      <c r="X718" s="203"/>
    </row>
    <row r="719" spans="1:24" ht="15" hidden="1" x14ac:dyDescent="0.2">
      <c r="A719" s="124" t="s">
        <v>126</v>
      </c>
      <c r="B719" s="243" t="s">
        <v>7</v>
      </c>
      <c r="C719" s="353" t="s">
        <v>611</v>
      </c>
      <c r="D719" s="353" t="s">
        <v>608</v>
      </c>
      <c r="E719" s="378" t="s">
        <v>1286</v>
      </c>
      <c r="F719" s="369">
        <v>622</v>
      </c>
      <c r="G719" s="288"/>
      <c r="H719" s="266"/>
      <c r="I719" s="288"/>
      <c r="J719" s="266"/>
      <c r="K719" s="43">
        <f t="shared" si="239"/>
        <v>0</v>
      </c>
      <c r="L719" s="43">
        <f t="shared" si="240"/>
        <v>0</v>
      </c>
      <c r="M719" s="217">
        <f t="shared" si="241"/>
        <v>0</v>
      </c>
      <c r="N719" s="43"/>
      <c r="P719" s="446">
        <f>I719-599.97083</f>
        <v>-599.97082999999998</v>
      </c>
      <c r="Q719" s="446"/>
      <c r="R719" s="288"/>
      <c r="S719" s="266"/>
      <c r="T719" s="217">
        <v>21917.3</v>
      </c>
      <c r="U719" s="288">
        <v>77630.566000000006</v>
      </c>
      <c r="V719" s="266">
        <f>53003.99842+16846.09972+5205.17151</f>
        <v>75055.269650000002</v>
      </c>
      <c r="W719" s="203"/>
      <c r="X719" s="203"/>
    </row>
    <row r="720" spans="1:24" s="307" customFormat="1" ht="15" x14ac:dyDescent="0.2">
      <c r="A720" s="746" t="s">
        <v>65</v>
      </c>
      <c r="B720" s="306" t="s">
        <v>7</v>
      </c>
      <c r="C720" s="354" t="s">
        <v>611</v>
      </c>
      <c r="D720" s="354" t="s">
        <v>608</v>
      </c>
      <c r="E720" s="450" t="s">
        <v>312</v>
      </c>
      <c r="F720" s="450"/>
      <c r="G720" s="591">
        <f>G721+G732+G734+G736+G728+G730+G726+G723</f>
        <v>9237.634</v>
      </c>
      <c r="H720" s="591">
        <f>H721+H732+H734+H736+H728+H730+H726+H723</f>
        <v>0</v>
      </c>
      <c r="I720" s="591">
        <f>I721+I732+I734+I736+I728+I730+I726+I723</f>
        <v>13959.71941</v>
      </c>
      <c r="J720" s="591">
        <f>J721+J732+J734+J736+J728+J730+J726+J723</f>
        <v>35</v>
      </c>
      <c r="K720" s="591">
        <f t="shared" si="239"/>
        <v>4722.0854099999997</v>
      </c>
      <c r="L720" s="591">
        <f t="shared" si="240"/>
        <v>35</v>
      </c>
      <c r="M720" s="217">
        <f t="shared" si="241"/>
        <v>0</v>
      </c>
      <c r="N720" s="292">
        <f>N721+N732</f>
        <v>5530.4269999999997</v>
      </c>
      <c r="R720" s="591">
        <f>R721+R732+R734+R736+R728+R730+R726+R723</f>
        <v>12422.5319</v>
      </c>
      <c r="S720" s="591">
        <f>S721+S732+S734+S736+S728+S730+S726+S723</f>
        <v>0</v>
      </c>
      <c r="T720" s="309">
        <f>I720-G720</f>
        <v>4722.0854099999997</v>
      </c>
      <c r="U720" s="498">
        <f>U721+U732+U734+U736+U728+U730+U726+U723</f>
        <v>11961.351000000001</v>
      </c>
      <c r="V720" s="498">
        <f>V721+V732+V734+V736+V728+V730+V726+V723</f>
        <v>0</v>
      </c>
      <c r="W720" s="310">
        <f>G720-I720</f>
        <v>-4722.0854099999997</v>
      </c>
      <c r="X720" s="310">
        <f>K720+W720</f>
        <v>0</v>
      </c>
    </row>
    <row r="721" spans="1:24" s="307" customFormat="1" ht="15" x14ac:dyDescent="0.2">
      <c r="A721" s="746" t="s">
        <v>190</v>
      </c>
      <c r="B721" s="306" t="s">
        <v>7</v>
      </c>
      <c r="C721" s="354" t="s">
        <v>611</v>
      </c>
      <c r="D721" s="354" t="s">
        <v>608</v>
      </c>
      <c r="E721" s="450" t="s">
        <v>560</v>
      </c>
      <c r="F721" s="450"/>
      <c r="G721" s="591">
        <f>G722</f>
        <v>3662.0949999999998</v>
      </c>
      <c r="H721" s="591">
        <f>H722</f>
        <v>0</v>
      </c>
      <c r="I721" s="591">
        <f>I722</f>
        <v>3305.3199599999998</v>
      </c>
      <c r="J721" s="591">
        <f>J722</f>
        <v>0</v>
      </c>
      <c r="K721" s="591">
        <f t="shared" si="239"/>
        <v>-356.77503999999999</v>
      </c>
      <c r="L721" s="591">
        <f t="shared" si="240"/>
        <v>0</v>
      </c>
      <c r="M721" s="217">
        <f t="shared" si="241"/>
        <v>0</v>
      </c>
      <c r="N721" s="292">
        <f>N722</f>
        <v>5530.4269999999997</v>
      </c>
      <c r="R721" s="591">
        <f>R722</f>
        <v>6883.0724</v>
      </c>
      <c r="S721" s="591">
        <f>S722</f>
        <v>0</v>
      </c>
      <c r="T721" s="309">
        <f>I721-G721</f>
        <v>-356.77503999999999</v>
      </c>
      <c r="U721" s="498">
        <f>U722</f>
        <v>4884.0320000000002</v>
      </c>
      <c r="V721" s="498">
        <f>V722</f>
        <v>0</v>
      </c>
      <c r="W721" s="310">
        <f>G721-I721</f>
        <v>356.77503999999999</v>
      </c>
      <c r="X721" s="310">
        <f>K721+W721</f>
        <v>0</v>
      </c>
    </row>
    <row r="722" spans="1:24" ht="25.5" x14ac:dyDescent="0.2">
      <c r="A722" s="739" t="s">
        <v>646</v>
      </c>
      <c r="B722" s="243" t="s">
        <v>7</v>
      </c>
      <c r="C722" s="353" t="s">
        <v>611</v>
      </c>
      <c r="D722" s="353" t="s">
        <v>608</v>
      </c>
      <c r="E722" s="369">
        <v>9990013590</v>
      </c>
      <c r="F722" s="369" t="s">
        <v>128</v>
      </c>
      <c r="G722" s="288">
        <v>3662.0949999999998</v>
      </c>
      <c r="H722" s="288"/>
      <c r="I722" s="288">
        <v>3305.3199599999998</v>
      </c>
      <c r="J722" s="288"/>
      <c r="K722" s="43">
        <f t="shared" si="239"/>
        <v>-356.77503999999999</v>
      </c>
      <c r="L722" s="43">
        <f t="shared" si="240"/>
        <v>0</v>
      </c>
      <c r="M722" s="217">
        <f t="shared" si="241"/>
        <v>0</v>
      </c>
      <c r="N722" s="43">
        <v>5530.4269999999997</v>
      </c>
      <c r="R722" s="288">
        <v>6883.0724</v>
      </c>
      <c r="S722" s="288"/>
      <c r="T722" s="217">
        <f>I722-G722</f>
        <v>-356.77503999999999</v>
      </c>
      <c r="U722" s="288">
        <v>4884.0320000000002</v>
      </c>
      <c r="V722" s="288">
        <v>0</v>
      </c>
      <c r="W722" s="203">
        <f>G722-I722</f>
        <v>356.77503999999999</v>
      </c>
      <c r="X722" s="203">
        <f>K722+W722</f>
        <v>0</v>
      </c>
    </row>
    <row r="723" spans="1:24" ht="30" customHeight="1" x14ac:dyDescent="0.2">
      <c r="A723" s="741" t="s">
        <v>2002</v>
      </c>
      <c r="B723" s="388" t="s">
        <v>7</v>
      </c>
      <c r="C723" s="389" t="s">
        <v>611</v>
      </c>
      <c r="D723" s="389" t="s">
        <v>608</v>
      </c>
      <c r="E723" s="515">
        <v>9990055493</v>
      </c>
      <c r="F723" s="390"/>
      <c r="G723" s="391">
        <f>G724+G725</f>
        <v>0</v>
      </c>
      <c r="H723" s="391">
        <f t="shared" ref="H723:L723" si="246">H724+H725</f>
        <v>0</v>
      </c>
      <c r="I723" s="391">
        <f t="shared" si="246"/>
        <v>35</v>
      </c>
      <c r="J723" s="391">
        <f t="shared" si="246"/>
        <v>35</v>
      </c>
      <c r="K723" s="391">
        <f t="shared" si="246"/>
        <v>35</v>
      </c>
      <c r="L723" s="391">
        <f t="shared" si="246"/>
        <v>35</v>
      </c>
      <c r="M723" s="217"/>
      <c r="N723" s="43"/>
      <c r="R723" s="391">
        <f>R724</f>
        <v>719.37450000000001</v>
      </c>
      <c r="S723" s="391">
        <f>S724</f>
        <v>0</v>
      </c>
      <c r="T723" s="217"/>
      <c r="U723" s="391">
        <f>U724</f>
        <v>2619.66</v>
      </c>
      <c r="V723" s="391">
        <f>V724</f>
        <v>0</v>
      </c>
      <c r="W723" s="203"/>
      <c r="X723" s="203"/>
    </row>
    <row r="724" spans="1:24" ht="26.25" customHeight="1" x14ac:dyDescent="0.2">
      <c r="A724" s="739" t="s">
        <v>1576</v>
      </c>
      <c r="B724" s="243" t="s">
        <v>7</v>
      </c>
      <c r="C724" s="353" t="s">
        <v>611</v>
      </c>
      <c r="D724" s="353" t="s">
        <v>608</v>
      </c>
      <c r="E724" s="369">
        <v>9990055493</v>
      </c>
      <c r="F724" s="369">
        <v>121</v>
      </c>
      <c r="G724" s="288">
        <v>0</v>
      </c>
      <c r="H724" s="288"/>
      <c r="I724" s="288">
        <v>26.881720000000001</v>
      </c>
      <c r="J724" s="288">
        <v>26.881720000000001</v>
      </c>
      <c r="K724" s="43">
        <f t="shared" si="239"/>
        <v>26.881720000000001</v>
      </c>
      <c r="L724" s="43">
        <f t="shared" si="240"/>
        <v>26.881720000000001</v>
      </c>
      <c r="M724" s="217"/>
      <c r="N724" s="43"/>
      <c r="R724" s="288">
        <v>719.37450000000001</v>
      </c>
      <c r="S724" s="288"/>
      <c r="T724" s="217"/>
      <c r="U724" s="288">
        <v>2619.66</v>
      </c>
      <c r="V724" s="288"/>
      <c r="W724" s="203"/>
      <c r="X724" s="203"/>
    </row>
    <row r="725" spans="1:24" ht="26.25" customHeight="1" x14ac:dyDescent="0.2">
      <c r="A725" s="739" t="s">
        <v>1578</v>
      </c>
      <c r="B725" s="243" t="s">
        <v>7</v>
      </c>
      <c r="C725" s="353" t="s">
        <v>611</v>
      </c>
      <c r="D725" s="353" t="s">
        <v>608</v>
      </c>
      <c r="E725" s="369">
        <v>9990055493</v>
      </c>
      <c r="F725" s="369">
        <v>129</v>
      </c>
      <c r="G725" s="288"/>
      <c r="H725" s="288"/>
      <c r="I725" s="288">
        <v>8.1182800000000004</v>
      </c>
      <c r="J725" s="288">
        <v>8.1182800000000004</v>
      </c>
      <c r="K725" s="43">
        <f t="shared" ref="K725" si="247">I725-G725</f>
        <v>8.1182800000000004</v>
      </c>
      <c r="L725" s="43">
        <f t="shared" ref="L725" si="248">J725-H725</f>
        <v>8.1182800000000004</v>
      </c>
      <c r="M725" s="217"/>
      <c r="N725" s="43"/>
      <c r="R725" s="288"/>
      <c r="S725" s="288"/>
      <c r="T725" s="217"/>
      <c r="U725" s="288"/>
      <c r="V725" s="288"/>
      <c r="W725" s="203"/>
      <c r="X725" s="203"/>
    </row>
    <row r="726" spans="1:24" ht="15" hidden="1" customHeight="1" x14ac:dyDescent="0.2">
      <c r="A726" s="451" t="s">
        <v>294</v>
      </c>
      <c r="B726" s="306" t="s">
        <v>7</v>
      </c>
      <c r="C726" s="354" t="s">
        <v>611</v>
      </c>
      <c r="D726" s="354" t="s">
        <v>608</v>
      </c>
      <c r="E726" s="474" t="s">
        <v>692</v>
      </c>
      <c r="F726" s="450"/>
      <c r="G726" s="498">
        <f>G727</f>
        <v>0</v>
      </c>
      <c r="H726" s="498">
        <f>H727</f>
        <v>0</v>
      </c>
      <c r="I726" s="591">
        <f>I727</f>
        <v>0</v>
      </c>
      <c r="J726" s="591">
        <f>J727</f>
        <v>0</v>
      </c>
      <c r="K726" s="591">
        <f t="shared" si="239"/>
        <v>0</v>
      </c>
      <c r="L726" s="591">
        <f t="shared" si="240"/>
        <v>0</v>
      </c>
      <c r="M726" s="217">
        <f t="shared" si="241"/>
        <v>0</v>
      </c>
      <c r="N726" s="43"/>
      <c r="R726" s="591">
        <f>R727</f>
        <v>0</v>
      </c>
      <c r="S726" s="591">
        <f>S727</f>
        <v>0</v>
      </c>
      <c r="T726" s="217"/>
      <c r="U726" s="498">
        <f>U727</f>
        <v>0</v>
      </c>
      <c r="V726" s="498">
        <f>V727</f>
        <v>0</v>
      </c>
      <c r="W726" s="203"/>
      <c r="X726" s="203"/>
    </row>
    <row r="727" spans="1:24" ht="15" hidden="1" customHeight="1" x14ac:dyDescent="0.2">
      <c r="A727" s="124" t="s">
        <v>125</v>
      </c>
      <c r="B727" s="243" t="s">
        <v>7</v>
      </c>
      <c r="C727" s="353" t="s">
        <v>611</v>
      </c>
      <c r="D727" s="353" t="s">
        <v>608</v>
      </c>
      <c r="E727" s="475" t="s">
        <v>692</v>
      </c>
      <c r="F727" s="369">
        <v>612</v>
      </c>
      <c r="G727" s="288"/>
      <c r="H727" s="288">
        <v>0</v>
      </c>
      <c r="I727" s="288"/>
      <c r="J727" s="288">
        <v>0</v>
      </c>
      <c r="K727" s="43">
        <f t="shared" si="239"/>
        <v>0</v>
      </c>
      <c r="L727" s="43">
        <f t="shared" si="240"/>
        <v>0</v>
      </c>
      <c r="M727" s="217">
        <f t="shared" si="241"/>
        <v>0</v>
      </c>
      <c r="N727" s="43"/>
      <c r="R727" s="288"/>
      <c r="S727" s="288">
        <v>0</v>
      </c>
      <c r="T727" s="217"/>
      <c r="U727" s="288">
        <v>0</v>
      </c>
      <c r="V727" s="288">
        <v>0</v>
      </c>
      <c r="W727" s="203"/>
      <c r="X727" s="203"/>
    </row>
    <row r="728" spans="1:24" s="307" customFormat="1" ht="25.5" x14ac:dyDescent="0.2">
      <c r="A728" s="746" t="s">
        <v>1247</v>
      </c>
      <c r="B728" s="306" t="s">
        <v>7</v>
      </c>
      <c r="C728" s="354" t="s">
        <v>611</v>
      </c>
      <c r="D728" s="354" t="s">
        <v>608</v>
      </c>
      <c r="E728" s="450" t="s">
        <v>1268</v>
      </c>
      <c r="F728" s="450"/>
      <c r="G728" s="591">
        <f>G729</f>
        <v>5575.5389999999998</v>
      </c>
      <c r="H728" s="591">
        <f>H729</f>
        <v>0</v>
      </c>
      <c r="I728" s="591">
        <f>I729</f>
        <v>5726.0195899999999</v>
      </c>
      <c r="J728" s="591">
        <f>J729</f>
        <v>0</v>
      </c>
      <c r="K728" s="591">
        <f t="shared" si="239"/>
        <v>150.48059000000012</v>
      </c>
      <c r="L728" s="591">
        <f t="shared" si="240"/>
        <v>0</v>
      </c>
      <c r="M728" s="217">
        <f t="shared" si="241"/>
        <v>0</v>
      </c>
      <c r="N728" s="292"/>
      <c r="R728" s="591">
        <f>R729</f>
        <v>608.70000000000005</v>
      </c>
      <c r="S728" s="591">
        <f>S729</f>
        <v>0</v>
      </c>
      <c r="T728" s="309">
        <f>I728-G728</f>
        <v>150.48059000000012</v>
      </c>
      <c r="U728" s="498">
        <f>U729</f>
        <v>2219.569</v>
      </c>
      <c r="V728" s="498">
        <f>V729</f>
        <v>0</v>
      </c>
      <c r="W728" s="310">
        <f t="shared" ref="W728:W741" si="249">G728-I728</f>
        <v>-150.48059000000012</v>
      </c>
      <c r="X728" s="310">
        <f t="shared" ref="X728:X741" si="250">K728+W728</f>
        <v>0</v>
      </c>
    </row>
    <row r="729" spans="1:24" ht="25.5" x14ac:dyDescent="0.2">
      <c r="A729" s="739" t="s">
        <v>646</v>
      </c>
      <c r="B729" s="243" t="s">
        <v>7</v>
      </c>
      <c r="C729" s="353" t="s">
        <v>611</v>
      </c>
      <c r="D729" s="353" t="s">
        <v>608</v>
      </c>
      <c r="E729" s="369" t="s">
        <v>1268</v>
      </c>
      <c r="F729" s="369" t="s">
        <v>128</v>
      </c>
      <c r="G729" s="288">
        <v>5575.5389999999998</v>
      </c>
      <c r="H729" s="288"/>
      <c r="I729" s="288">
        <v>5726.0195899999999</v>
      </c>
      <c r="J729" s="288"/>
      <c r="K729" s="43">
        <f t="shared" si="239"/>
        <v>150.48059000000012</v>
      </c>
      <c r="L729" s="43">
        <f t="shared" si="240"/>
        <v>0</v>
      </c>
      <c r="M729" s="217">
        <f t="shared" si="241"/>
        <v>0</v>
      </c>
      <c r="N729" s="43"/>
      <c r="R729" s="288">
        <v>608.70000000000005</v>
      </c>
      <c r="S729" s="288"/>
      <c r="T729" s="217">
        <f>I729-G729</f>
        <v>150.48059000000012</v>
      </c>
      <c r="U729" s="288">
        <v>2219.569</v>
      </c>
      <c r="V729" s="288">
        <v>0</v>
      </c>
      <c r="W729" s="203">
        <f t="shared" si="249"/>
        <v>-150.48059000000012</v>
      </c>
      <c r="X729" s="203">
        <f t="shared" si="250"/>
        <v>0</v>
      </c>
    </row>
    <row r="730" spans="1:24" s="307" customFormat="1" ht="42" hidden="1" customHeight="1" x14ac:dyDescent="0.2">
      <c r="A730" s="451" t="s">
        <v>938</v>
      </c>
      <c r="B730" s="306" t="s">
        <v>7</v>
      </c>
      <c r="C730" s="354" t="s">
        <v>611</v>
      </c>
      <c r="D730" s="354" t="s">
        <v>608</v>
      </c>
      <c r="E730" s="450" t="s">
        <v>849</v>
      </c>
      <c r="F730" s="450"/>
      <c r="G730" s="498">
        <f>G731</f>
        <v>0</v>
      </c>
      <c r="H730" s="498">
        <f>H731</f>
        <v>0</v>
      </c>
      <c r="I730" s="591">
        <f>I731</f>
        <v>0</v>
      </c>
      <c r="J730" s="591">
        <f>J731</f>
        <v>0</v>
      </c>
      <c r="K730" s="591">
        <f t="shared" si="239"/>
        <v>0</v>
      </c>
      <c r="L730" s="591">
        <f t="shared" si="240"/>
        <v>0</v>
      </c>
      <c r="M730" s="217">
        <f t="shared" si="241"/>
        <v>0</v>
      </c>
      <c r="N730" s="292"/>
      <c r="R730" s="591">
        <f>R731</f>
        <v>0</v>
      </c>
      <c r="S730" s="591">
        <f>S731</f>
        <v>0</v>
      </c>
      <c r="T730" s="309"/>
      <c r="U730" s="498">
        <f>U731</f>
        <v>0</v>
      </c>
      <c r="V730" s="498">
        <f>V731</f>
        <v>0</v>
      </c>
      <c r="W730" s="310">
        <f t="shared" si="249"/>
        <v>0</v>
      </c>
      <c r="X730" s="310">
        <f t="shared" si="250"/>
        <v>0</v>
      </c>
    </row>
    <row r="731" spans="1:24" ht="37.5" hidden="1" customHeight="1" x14ac:dyDescent="0.2">
      <c r="A731" s="124" t="s">
        <v>646</v>
      </c>
      <c r="B731" s="243" t="s">
        <v>7</v>
      </c>
      <c r="C731" s="353" t="s">
        <v>611</v>
      </c>
      <c r="D731" s="353" t="s">
        <v>608</v>
      </c>
      <c r="E731" s="369" t="s">
        <v>849</v>
      </c>
      <c r="F731" s="369" t="s">
        <v>128</v>
      </c>
      <c r="G731" s="288"/>
      <c r="H731" s="288"/>
      <c r="I731" s="288"/>
      <c r="J731" s="288"/>
      <c r="K731" s="43">
        <f t="shared" si="239"/>
        <v>0</v>
      </c>
      <c r="L731" s="43">
        <f t="shared" si="240"/>
        <v>0</v>
      </c>
      <c r="M731" s="217">
        <f t="shared" si="241"/>
        <v>0</v>
      </c>
      <c r="N731" s="43"/>
      <c r="R731" s="288"/>
      <c r="S731" s="288"/>
      <c r="T731" s="217"/>
      <c r="U731" s="288"/>
      <c r="V731" s="288"/>
      <c r="W731" s="203">
        <f t="shared" si="249"/>
        <v>0</v>
      </c>
      <c r="X731" s="203">
        <f t="shared" si="250"/>
        <v>0</v>
      </c>
    </row>
    <row r="732" spans="1:24" s="307" customFormat="1" ht="39" hidden="1" customHeight="1" x14ac:dyDescent="0.2">
      <c r="A732" s="451" t="s">
        <v>1027</v>
      </c>
      <c r="B732" s="306" t="s">
        <v>7</v>
      </c>
      <c r="C732" s="354" t="s">
        <v>611</v>
      </c>
      <c r="D732" s="354" t="s">
        <v>608</v>
      </c>
      <c r="E732" s="450" t="s">
        <v>1022</v>
      </c>
      <c r="F732" s="450"/>
      <c r="G732" s="498">
        <f>G733</f>
        <v>0</v>
      </c>
      <c r="H732" s="498">
        <f>H733</f>
        <v>0</v>
      </c>
      <c r="I732" s="591">
        <f>I733</f>
        <v>0</v>
      </c>
      <c r="J732" s="591">
        <f>J733</f>
        <v>0</v>
      </c>
      <c r="K732" s="591">
        <f t="shared" si="239"/>
        <v>0</v>
      </c>
      <c r="L732" s="591">
        <f t="shared" si="240"/>
        <v>0</v>
      </c>
      <c r="M732" s="217">
        <f t="shared" si="241"/>
        <v>0</v>
      </c>
      <c r="N732" s="324">
        <f>N733</f>
        <v>0</v>
      </c>
      <c r="R732" s="591">
        <f>R733</f>
        <v>0</v>
      </c>
      <c r="S732" s="591">
        <f>S733</f>
        <v>0</v>
      </c>
      <c r="T732" s="309">
        <f t="shared" ref="T732:T753" si="251">I732-G732</f>
        <v>0</v>
      </c>
      <c r="U732" s="498">
        <f>U733</f>
        <v>0</v>
      </c>
      <c r="V732" s="498">
        <f>V733</f>
        <v>0</v>
      </c>
      <c r="W732" s="310">
        <f t="shared" si="249"/>
        <v>0</v>
      </c>
      <c r="X732" s="310">
        <f t="shared" si="250"/>
        <v>0</v>
      </c>
    </row>
    <row r="733" spans="1:24" ht="39" hidden="1" customHeight="1" x14ac:dyDescent="0.2">
      <c r="A733" s="124" t="s">
        <v>646</v>
      </c>
      <c r="B733" s="243" t="s">
        <v>7</v>
      </c>
      <c r="C733" s="353" t="s">
        <v>611</v>
      </c>
      <c r="D733" s="353" t="s">
        <v>608</v>
      </c>
      <c r="E733" s="369" t="s">
        <v>1022</v>
      </c>
      <c r="F733" s="369" t="s">
        <v>128</v>
      </c>
      <c r="G733" s="288"/>
      <c r="H733" s="288"/>
      <c r="I733" s="288"/>
      <c r="J733" s="288"/>
      <c r="K733" s="43">
        <f t="shared" si="239"/>
        <v>0</v>
      </c>
      <c r="L733" s="43">
        <f t="shared" si="240"/>
        <v>0</v>
      </c>
      <c r="M733" s="217">
        <f t="shared" si="241"/>
        <v>0</v>
      </c>
      <c r="N733" s="177">
        <v>0</v>
      </c>
      <c r="R733" s="288"/>
      <c r="S733" s="288"/>
      <c r="T733" s="217">
        <f t="shared" si="251"/>
        <v>0</v>
      </c>
      <c r="U733" s="288"/>
      <c r="V733" s="288"/>
      <c r="W733" s="203">
        <f t="shared" si="249"/>
        <v>0</v>
      </c>
      <c r="X733" s="203">
        <f t="shared" si="250"/>
        <v>0</v>
      </c>
    </row>
    <row r="734" spans="1:24" s="307" customFormat="1" ht="15" x14ac:dyDescent="0.2">
      <c r="A734" s="746" t="s">
        <v>1050</v>
      </c>
      <c r="B734" s="306" t="s">
        <v>7</v>
      </c>
      <c r="C734" s="354" t="s">
        <v>611</v>
      </c>
      <c r="D734" s="354" t="s">
        <v>608</v>
      </c>
      <c r="E734" s="719" t="s">
        <v>2003</v>
      </c>
      <c r="F734" s="450"/>
      <c r="G734" s="591">
        <f>G735</f>
        <v>0</v>
      </c>
      <c r="H734" s="591">
        <f>H735</f>
        <v>0</v>
      </c>
      <c r="I734" s="591">
        <f>I735</f>
        <v>4893.37986</v>
      </c>
      <c r="J734" s="591">
        <f>J735</f>
        <v>0</v>
      </c>
      <c r="K734" s="591">
        <f t="shared" si="239"/>
        <v>4893.37986</v>
      </c>
      <c r="L734" s="591">
        <f t="shared" si="240"/>
        <v>0</v>
      </c>
      <c r="M734" s="217">
        <f t="shared" si="241"/>
        <v>0</v>
      </c>
      <c r="N734" s="324"/>
      <c r="R734" s="591">
        <f>R735</f>
        <v>4211.3850000000002</v>
      </c>
      <c r="S734" s="591">
        <f>S735</f>
        <v>0</v>
      </c>
      <c r="T734" s="309">
        <f t="shared" si="251"/>
        <v>4893.37986</v>
      </c>
      <c r="U734" s="498">
        <f>U735</f>
        <v>2238.09</v>
      </c>
      <c r="V734" s="498">
        <f>V735</f>
        <v>0</v>
      </c>
      <c r="W734" s="310">
        <f t="shared" si="249"/>
        <v>-4893.37986</v>
      </c>
      <c r="X734" s="310">
        <f t="shared" si="250"/>
        <v>0</v>
      </c>
    </row>
    <row r="735" spans="1:24" ht="25.5" x14ac:dyDescent="0.2">
      <c r="A735" s="739" t="s">
        <v>646</v>
      </c>
      <c r="B735" s="243" t="s">
        <v>7</v>
      </c>
      <c r="C735" s="353" t="s">
        <v>611</v>
      </c>
      <c r="D735" s="353" t="s">
        <v>608</v>
      </c>
      <c r="E735" s="386" t="s">
        <v>2003</v>
      </c>
      <c r="F735" s="369" t="s">
        <v>128</v>
      </c>
      <c r="G735" s="288"/>
      <c r="H735" s="288"/>
      <c r="I735" s="288">
        <v>4893.37986</v>
      </c>
      <c r="J735" s="288"/>
      <c r="K735" s="43">
        <f t="shared" si="239"/>
        <v>4893.37986</v>
      </c>
      <c r="L735" s="43">
        <f t="shared" si="240"/>
        <v>0</v>
      </c>
      <c r="M735" s="217">
        <f t="shared" si="241"/>
        <v>0</v>
      </c>
      <c r="N735" s="177"/>
      <c r="R735" s="288">
        <v>4211.3850000000002</v>
      </c>
      <c r="S735" s="288"/>
      <c r="T735" s="217">
        <f t="shared" si="251"/>
        <v>4893.37986</v>
      </c>
      <c r="U735" s="288">
        <v>2238.09</v>
      </c>
      <c r="V735" s="288"/>
      <c r="W735" s="203">
        <f t="shared" si="249"/>
        <v>-4893.37986</v>
      </c>
      <c r="X735" s="203">
        <f t="shared" si="250"/>
        <v>0</v>
      </c>
    </row>
    <row r="736" spans="1:24" s="307" customFormat="1" ht="13.5" hidden="1" customHeight="1" x14ac:dyDescent="0.2">
      <c r="A736" s="451" t="s">
        <v>566</v>
      </c>
      <c r="B736" s="306" t="s">
        <v>7</v>
      </c>
      <c r="C736" s="354" t="s">
        <v>611</v>
      </c>
      <c r="D736" s="354" t="s">
        <v>608</v>
      </c>
      <c r="E736" s="450" t="s">
        <v>567</v>
      </c>
      <c r="F736" s="450"/>
      <c r="G736" s="498">
        <f>G737</f>
        <v>0</v>
      </c>
      <c r="H736" s="498">
        <f>H737</f>
        <v>0</v>
      </c>
      <c r="I736" s="591">
        <f>I737</f>
        <v>0</v>
      </c>
      <c r="J736" s="591">
        <f>J737</f>
        <v>0</v>
      </c>
      <c r="K736" s="591">
        <f t="shared" si="239"/>
        <v>0</v>
      </c>
      <c r="L736" s="591">
        <f t="shared" si="240"/>
        <v>0</v>
      </c>
      <c r="M736" s="217">
        <f t="shared" si="241"/>
        <v>0</v>
      </c>
      <c r="N736" s="324"/>
      <c r="R736" s="591">
        <f>R737</f>
        <v>0</v>
      </c>
      <c r="S736" s="591">
        <f>S737</f>
        <v>0</v>
      </c>
      <c r="T736" s="309">
        <f t="shared" si="251"/>
        <v>0</v>
      </c>
      <c r="U736" s="498">
        <f>U737</f>
        <v>0</v>
      </c>
      <c r="V736" s="498">
        <f>V737</f>
        <v>0</v>
      </c>
      <c r="W736" s="310">
        <f t="shared" si="249"/>
        <v>0</v>
      </c>
      <c r="X736" s="310">
        <f t="shared" si="250"/>
        <v>0</v>
      </c>
    </row>
    <row r="737" spans="1:24" ht="13.5" hidden="1" customHeight="1" x14ac:dyDescent="0.2">
      <c r="A737" s="124" t="s">
        <v>126</v>
      </c>
      <c r="B737" s="243" t="s">
        <v>7</v>
      </c>
      <c r="C737" s="353" t="s">
        <v>611</v>
      </c>
      <c r="D737" s="353" t="s">
        <v>608</v>
      </c>
      <c r="E737" s="369" t="s">
        <v>567</v>
      </c>
      <c r="F737" s="369" t="s">
        <v>124</v>
      </c>
      <c r="G737" s="288">
        <v>0</v>
      </c>
      <c r="H737" s="288"/>
      <c r="I737" s="288">
        <v>0</v>
      </c>
      <c r="J737" s="288"/>
      <c r="K737" s="43">
        <f t="shared" si="239"/>
        <v>0</v>
      </c>
      <c r="L737" s="43">
        <f t="shared" si="240"/>
        <v>0</v>
      </c>
      <c r="M737" s="217">
        <f t="shared" si="241"/>
        <v>0</v>
      </c>
      <c r="N737" s="177"/>
      <c r="R737" s="288">
        <v>0</v>
      </c>
      <c r="S737" s="288"/>
      <c r="T737" s="217">
        <f t="shared" si="251"/>
        <v>0</v>
      </c>
      <c r="U737" s="288">
        <v>0</v>
      </c>
      <c r="V737" s="288"/>
      <c r="W737" s="203">
        <f t="shared" si="249"/>
        <v>0</v>
      </c>
      <c r="X737" s="203">
        <f t="shared" si="250"/>
        <v>0</v>
      </c>
    </row>
    <row r="738" spans="1:24" s="327" customFormat="1" ht="15" x14ac:dyDescent="0.2">
      <c r="A738" s="746" t="s">
        <v>121</v>
      </c>
      <c r="B738" s="306" t="s">
        <v>7</v>
      </c>
      <c r="C738" s="354" t="s">
        <v>27</v>
      </c>
      <c r="D738" s="354"/>
      <c r="E738" s="450"/>
      <c r="F738" s="450"/>
      <c r="G738" s="591">
        <f t="shared" ref="G738:J740" si="252">G739</f>
        <v>489.9</v>
      </c>
      <c r="H738" s="591">
        <f t="shared" si="252"/>
        <v>0</v>
      </c>
      <c r="I738" s="591">
        <f t="shared" si="252"/>
        <v>489.9</v>
      </c>
      <c r="J738" s="591">
        <f t="shared" si="252"/>
        <v>0</v>
      </c>
      <c r="K738" s="591">
        <f t="shared" si="239"/>
        <v>0</v>
      </c>
      <c r="L738" s="591">
        <f t="shared" si="240"/>
        <v>0</v>
      </c>
      <c r="M738" s="217">
        <f t="shared" si="241"/>
        <v>0</v>
      </c>
      <c r="N738" s="308" t="e">
        <f>N739</f>
        <v>#REF!</v>
      </c>
      <c r="R738" s="591">
        <f t="shared" ref="R738:S740" si="253">R739</f>
        <v>439.40000000000003</v>
      </c>
      <c r="S738" s="591">
        <f t="shared" si="253"/>
        <v>0</v>
      </c>
      <c r="T738" s="309">
        <f t="shared" si="251"/>
        <v>0</v>
      </c>
      <c r="U738" s="498">
        <f t="shared" ref="U738:V740" si="254">U739</f>
        <v>447.79716999999999</v>
      </c>
      <c r="V738" s="498">
        <f t="shared" si="254"/>
        <v>0</v>
      </c>
      <c r="W738" s="310">
        <f t="shared" si="249"/>
        <v>0</v>
      </c>
      <c r="X738" s="310">
        <f t="shared" si="250"/>
        <v>0</v>
      </c>
    </row>
    <row r="739" spans="1:24" s="327" customFormat="1" ht="15" x14ac:dyDescent="0.2">
      <c r="A739" s="746" t="s">
        <v>16</v>
      </c>
      <c r="B739" s="306" t="s">
        <v>7</v>
      </c>
      <c r="C739" s="354" t="s">
        <v>27</v>
      </c>
      <c r="D739" s="354" t="s">
        <v>606</v>
      </c>
      <c r="E739" s="450"/>
      <c r="F739" s="450"/>
      <c r="G739" s="591">
        <f t="shared" si="252"/>
        <v>489.9</v>
      </c>
      <c r="H739" s="591">
        <f t="shared" si="252"/>
        <v>0</v>
      </c>
      <c r="I739" s="591">
        <f t="shared" si="252"/>
        <v>489.9</v>
      </c>
      <c r="J739" s="591">
        <f t="shared" si="252"/>
        <v>0</v>
      </c>
      <c r="K739" s="591">
        <f t="shared" si="239"/>
        <v>0</v>
      </c>
      <c r="L739" s="591">
        <f t="shared" si="240"/>
        <v>0</v>
      </c>
      <c r="M739" s="217">
        <f t="shared" si="241"/>
        <v>0</v>
      </c>
      <c r="N739" s="308" t="e">
        <f>N740</f>
        <v>#REF!</v>
      </c>
      <c r="R739" s="591">
        <f t="shared" si="253"/>
        <v>439.40000000000003</v>
      </c>
      <c r="S739" s="591">
        <f t="shared" si="253"/>
        <v>0</v>
      </c>
      <c r="T739" s="309">
        <f t="shared" si="251"/>
        <v>0</v>
      </c>
      <c r="U739" s="498">
        <f t="shared" si="254"/>
        <v>447.79716999999999</v>
      </c>
      <c r="V739" s="498">
        <f t="shared" si="254"/>
        <v>0</v>
      </c>
      <c r="W739" s="310">
        <f t="shared" si="249"/>
        <v>0</v>
      </c>
      <c r="X739" s="310">
        <f t="shared" si="250"/>
        <v>0</v>
      </c>
    </row>
    <row r="740" spans="1:24" s="327" customFormat="1" ht="15" x14ac:dyDescent="0.2">
      <c r="A740" s="746" t="s">
        <v>65</v>
      </c>
      <c r="B740" s="306" t="s">
        <v>7</v>
      </c>
      <c r="C740" s="354" t="s">
        <v>27</v>
      </c>
      <c r="D740" s="354" t="s">
        <v>606</v>
      </c>
      <c r="E740" s="450" t="s">
        <v>312</v>
      </c>
      <c r="F740" s="450"/>
      <c r="G740" s="591">
        <f t="shared" si="252"/>
        <v>489.9</v>
      </c>
      <c r="H740" s="591">
        <f t="shared" si="252"/>
        <v>0</v>
      </c>
      <c r="I740" s="591">
        <f t="shared" si="252"/>
        <v>489.9</v>
      </c>
      <c r="J740" s="591">
        <f t="shared" si="252"/>
        <v>0</v>
      </c>
      <c r="K740" s="591">
        <f t="shared" si="239"/>
        <v>0</v>
      </c>
      <c r="L740" s="591">
        <f t="shared" si="240"/>
        <v>0</v>
      </c>
      <c r="M740" s="217">
        <f t="shared" si="241"/>
        <v>0</v>
      </c>
      <c r="N740" s="308" t="e">
        <f>N741</f>
        <v>#REF!</v>
      </c>
      <c r="R740" s="591">
        <f t="shared" si="253"/>
        <v>439.40000000000003</v>
      </c>
      <c r="S740" s="591">
        <f t="shared" si="253"/>
        <v>0</v>
      </c>
      <c r="T740" s="309">
        <f t="shared" si="251"/>
        <v>0</v>
      </c>
      <c r="U740" s="498">
        <f t="shared" si="254"/>
        <v>447.79716999999999</v>
      </c>
      <c r="V740" s="498">
        <f t="shared" si="254"/>
        <v>0</v>
      </c>
      <c r="W740" s="310">
        <f t="shared" si="249"/>
        <v>0</v>
      </c>
      <c r="X740" s="310">
        <f t="shared" si="250"/>
        <v>0</v>
      </c>
    </row>
    <row r="741" spans="1:24" s="327" customFormat="1" ht="55.5" customHeight="1" x14ac:dyDescent="0.2">
      <c r="A741" s="746" t="s">
        <v>934</v>
      </c>
      <c r="B741" s="306" t="s">
        <v>7</v>
      </c>
      <c r="C741" s="354" t="s">
        <v>27</v>
      </c>
      <c r="D741" s="354" t="s">
        <v>606</v>
      </c>
      <c r="E741" s="450" t="s">
        <v>328</v>
      </c>
      <c r="F741" s="450"/>
      <c r="G741" s="591">
        <f>G743+G744+G742</f>
        <v>489.9</v>
      </c>
      <c r="H741" s="591">
        <f>H743+H744+H742</f>
        <v>0</v>
      </c>
      <c r="I741" s="591">
        <f>I743+I744+I742</f>
        <v>489.9</v>
      </c>
      <c r="J741" s="591">
        <f>J743+J744+J742</f>
        <v>0</v>
      </c>
      <c r="K741" s="591">
        <f t="shared" si="239"/>
        <v>0</v>
      </c>
      <c r="L741" s="591">
        <f t="shared" si="240"/>
        <v>0</v>
      </c>
      <c r="M741" s="217">
        <f t="shared" si="241"/>
        <v>0</v>
      </c>
      <c r="N741" s="308" t="e">
        <f>#REF!+N743</f>
        <v>#REF!</v>
      </c>
      <c r="R741" s="591">
        <f>R743+R744+R742</f>
        <v>439.40000000000003</v>
      </c>
      <c r="S741" s="591">
        <f>S743+S744+S742</f>
        <v>0</v>
      </c>
      <c r="T741" s="309">
        <f t="shared" si="251"/>
        <v>0</v>
      </c>
      <c r="U741" s="498">
        <f>U743+U744</f>
        <v>447.79716999999999</v>
      </c>
      <c r="V741" s="498">
        <f>V743+V744</f>
        <v>0</v>
      </c>
      <c r="W741" s="310">
        <f t="shared" si="249"/>
        <v>0</v>
      </c>
      <c r="X741" s="310">
        <f t="shared" si="250"/>
        <v>0</v>
      </c>
    </row>
    <row r="742" spans="1:24" s="327" customFormat="1" ht="15" x14ac:dyDescent="0.2">
      <c r="A742" s="744" t="s">
        <v>1543</v>
      </c>
      <c r="B742" s="243" t="s">
        <v>7</v>
      </c>
      <c r="C742" s="353" t="s">
        <v>27</v>
      </c>
      <c r="D742" s="353" t="s">
        <v>606</v>
      </c>
      <c r="E742" s="369" t="s">
        <v>328</v>
      </c>
      <c r="F742" s="369">
        <v>540</v>
      </c>
      <c r="G742" s="288">
        <v>23.528279999999999</v>
      </c>
      <c r="H742" s="288"/>
      <c r="I742" s="288">
        <v>23.528279999999999</v>
      </c>
      <c r="J742" s="288"/>
      <c r="K742" s="43">
        <f t="shared" si="239"/>
        <v>0</v>
      </c>
      <c r="L742" s="43">
        <f t="shared" si="240"/>
        <v>0</v>
      </c>
      <c r="M742" s="217"/>
      <c r="N742" s="308"/>
      <c r="R742" s="288">
        <v>14.783379999999999</v>
      </c>
      <c r="S742" s="288"/>
      <c r="T742" s="309"/>
      <c r="U742" s="591"/>
      <c r="V742" s="591"/>
      <c r="W742" s="310"/>
      <c r="X742" s="310"/>
    </row>
    <row r="743" spans="1:24" ht="15" x14ac:dyDescent="0.2">
      <c r="A743" s="739" t="s">
        <v>125</v>
      </c>
      <c r="B743" s="243" t="s">
        <v>7</v>
      </c>
      <c r="C743" s="353" t="s">
        <v>27</v>
      </c>
      <c r="D743" s="353" t="s">
        <v>606</v>
      </c>
      <c r="E743" s="369" t="s">
        <v>328</v>
      </c>
      <c r="F743" s="369" t="s">
        <v>123</v>
      </c>
      <c r="G743" s="288">
        <v>85.525599999999997</v>
      </c>
      <c r="H743" s="288"/>
      <c r="I743" s="288">
        <v>85.525599999999997</v>
      </c>
      <c r="J743" s="288"/>
      <c r="K743" s="43">
        <f t="shared" si="239"/>
        <v>0</v>
      </c>
      <c r="L743" s="43">
        <f t="shared" si="240"/>
        <v>0</v>
      </c>
      <c r="M743" s="217">
        <f t="shared" si="241"/>
        <v>0</v>
      </c>
      <c r="N743" s="171">
        <v>172.17</v>
      </c>
      <c r="R743" s="288">
        <v>73.87415</v>
      </c>
      <c r="S743" s="288"/>
      <c r="T743" s="217">
        <f t="shared" si="251"/>
        <v>0</v>
      </c>
      <c r="U743" s="288">
        <v>80.118049999999997</v>
      </c>
      <c r="V743" s="288">
        <v>0</v>
      </c>
      <c r="W743" s="203">
        <f>G743-I743</f>
        <v>0</v>
      </c>
      <c r="X743" s="203">
        <f>K743+W743</f>
        <v>0</v>
      </c>
    </row>
    <row r="744" spans="1:24" ht="15" x14ac:dyDescent="0.2">
      <c r="A744" s="739" t="s">
        <v>126</v>
      </c>
      <c r="B744" s="243" t="s">
        <v>7</v>
      </c>
      <c r="C744" s="353" t="s">
        <v>27</v>
      </c>
      <c r="D744" s="353" t="s">
        <v>606</v>
      </c>
      <c r="E744" s="369" t="s">
        <v>328</v>
      </c>
      <c r="F744" s="369" t="s">
        <v>124</v>
      </c>
      <c r="G744" s="288">
        <v>380.84611999999998</v>
      </c>
      <c r="H744" s="288"/>
      <c r="I744" s="288">
        <v>380.84611999999998</v>
      </c>
      <c r="J744" s="288"/>
      <c r="K744" s="43">
        <f t="shared" si="239"/>
        <v>0</v>
      </c>
      <c r="L744" s="43">
        <f t="shared" si="240"/>
        <v>0</v>
      </c>
      <c r="M744" s="217">
        <f t="shared" si="241"/>
        <v>0</v>
      </c>
      <c r="N744" s="171"/>
      <c r="R744" s="288">
        <v>350.74247000000003</v>
      </c>
      <c r="S744" s="288"/>
      <c r="T744" s="217">
        <f t="shared" si="251"/>
        <v>0</v>
      </c>
      <c r="U744" s="288">
        <v>367.67912000000001</v>
      </c>
      <c r="V744" s="288">
        <v>0</v>
      </c>
      <c r="W744" s="203">
        <f>G744-I744</f>
        <v>0</v>
      </c>
      <c r="X744" s="203">
        <f>K744+W744</f>
        <v>0</v>
      </c>
    </row>
    <row r="745" spans="1:24" s="307" customFormat="1" ht="15" hidden="1" x14ac:dyDescent="0.2">
      <c r="A745" s="451" t="s">
        <v>838</v>
      </c>
      <c r="B745" s="306" t="s">
        <v>7</v>
      </c>
      <c r="C745" s="354" t="s">
        <v>621</v>
      </c>
      <c r="D745" s="354"/>
      <c r="E745" s="450"/>
      <c r="F745" s="450"/>
      <c r="G745" s="498">
        <f>G746</f>
        <v>0</v>
      </c>
      <c r="H745" s="498">
        <f>H746</f>
        <v>0</v>
      </c>
      <c r="I745" s="591">
        <f>I746</f>
        <v>0</v>
      </c>
      <c r="J745" s="591">
        <f>J746</f>
        <v>0</v>
      </c>
      <c r="K745" s="591">
        <f t="shared" si="239"/>
        <v>0</v>
      </c>
      <c r="L745" s="591">
        <f t="shared" si="240"/>
        <v>0</v>
      </c>
      <c r="M745" s="217">
        <f t="shared" si="241"/>
        <v>0</v>
      </c>
      <c r="N745" s="308">
        <f>N746</f>
        <v>2416.288</v>
      </c>
      <c r="R745" s="591">
        <f>R746</f>
        <v>0</v>
      </c>
      <c r="S745" s="591">
        <f>S746</f>
        <v>0</v>
      </c>
      <c r="T745" s="309">
        <f t="shared" si="251"/>
        <v>0</v>
      </c>
      <c r="U745" s="498">
        <f>U746</f>
        <v>23564.762159999998</v>
      </c>
      <c r="V745" s="498">
        <f>V746</f>
        <v>15278.44038</v>
      </c>
      <c r="W745" s="310">
        <f>G745-I745</f>
        <v>0</v>
      </c>
      <c r="X745" s="310">
        <f>K745+W745</f>
        <v>0</v>
      </c>
    </row>
    <row r="746" spans="1:24" s="307" customFormat="1" ht="12" hidden="1" customHeight="1" x14ac:dyDescent="0.2">
      <c r="A746" s="451" t="s">
        <v>11</v>
      </c>
      <c r="B746" s="306" t="s">
        <v>7</v>
      </c>
      <c r="C746" s="354" t="s">
        <v>621</v>
      </c>
      <c r="D746" s="354" t="s">
        <v>606</v>
      </c>
      <c r="E746" s="450"/>
      <c r="F746" s="450"/>
      <c r="G746" s="498">
        <f>G747+G791+G776+G787</f>
        <v>0</v>
      </c>
      <c r="H746" s="498">
        <f>H747+H791+H776+H787</f>
        <v>0</v>
      </c>
      <c r="I746" s="591">
        <f>I747+I791+I776+I787</f>
        <v>0</v>
      </c>
      <c r="J746" s="591">
        <f>J747+J791+J776+J787</f>
        <v>0</v>
      </c>
      <c r="K746" s="591">
        <f t="shared" si="239"/>
        <v>0</v>
      </c>
      <c r="L746" s="591">
        <f t="shared" si="240"/>
        <v>0</v>
      </c>
      <c r="M746" s="217">
        <f t="shared" si="241"/>
        <v>0</v>
      </c>
      <c r="N746" s="308">
        <f>N747+N794+N791</f>
        <v>2416.288</v>
      </c>
      <c r="R746" s="591">
        <f>R747+R791+R776+R787</f>
        <v>0</v>
      </c>
      <c r="S746" s="591">
        <f>S747+S791+S776+S787</f>
        <v>0</v>
      </c>
      <c r="T746" s="309">
        <f t="shared" si="251"/>
        <v>0</v>
      </c>
      <c r="U746" s="498">
        <f>U747+U791+U776+U787</f>
        <v>23564.762159999998</v>
      </c>
      <c r="V746" s="498">
        <f>V747+V791+V776+V787</f>
        <v>15278.44038</v>
      </c>
      <c r="W746" s="310">
        <f>G746-I746</f>
        <v>0</v>
      </c>
      <c r="X746" s="310">
        <f>K746+W746</f>
        <v>0</v>
      </c>
    </row>
    <row r="747" spans="1:24" s="307" customFormat="1" ht="12" hidden="1" customHeight="1" x14ac:dyDescent="0.2">
      <c r="A747" s="451" t="s">
        <v>318</v>
      </c>
      <c r="B747" s="306" t="s">
        <v>7</v>
      </c>
      <c r="C747" s="354" t="s">
        <v>621</v>
      </c>
      <c r="D747" s="354" t="s">
        <v>606</v>
      </c>
      <c r="E747" s="450" t="s">
        <v>323</v>
      </c>
      <c r="F747" s="450"/>
      <c r="G747" s="498">
        <f>G748+G758</f>
        <v>0</v>
      </c>
      <c r="H747" s="498">
        <f>H748+H758</f>
        <v>0</v>
      </c>
      <c r="I747" s="591">
        <f>I748+I758</f>
        <v>0</v>
      </c>
      <c r="J747" s="591">
        <f>J748+J758</f>
        <v>0</v>
      </c>
      <c r="K747" s="591">
        <f t="shared" si="239"/>
        <v>0</v>
      </c>
      <c r="L747" s="591">
        <f t="shared" si="240"/>
        <v>0</v>
      </c>
      <c r="M747" s="217">
        <f t="shared" si="241"/>
        <v>0</v>
      </c>
      <c r="N747" s="308">
        <f>N748</f>
        <v>2416.288</v>
      </c>
      <c r="R747" s="591">
        <f>R748+R758</f>
        <v>0</v>
      </c>
      <c r="S747" s="591">
        <f>S748+S758</f>
        <v>0</v>
      </c>
      <c r="T747" s="309">
        <f t="shared" si="251"/>
        <v>0</v>
      </c>
      <c r="U747" s="498">
        <f>U748+U758</f>
        <v>10733.22633</v>
      </c>
      <c r="V747" s="498">
        <f>V748+V758</f>
        <v>2850.7284800000002</v>
      </c>
      <c r="W747" s="310">
        <f t="shared" ref="W747:W830" si="255">G747-I747</f>
        <v>0</v>
      </c>
      <c r="X747" s="310">
        <f t="shared" ref="X747:X830" si="256">K747+W747</f>
        <v>0</v>
      </c>
    </row>
    <row r="748" spans="1:24" s="307" customFormat="1" ht="25.5" hidden="1" customHeight="1" x14ac:dyDescent="0.2">
      <c r="A748" s="451" t="s">
        <v>319</v>
      </c>
      <c r="B748" s="306" t="s">
        <v>7</v>
      </c>
      <c r="C748" s="354" t="s">
        <v>621</v>
      </c>
      <c r="D748" s="354" t="s">
        <v>606</v>
      </c>
      <c r="E748" s="450" t="s">
        <v>322</v>
      </c>
      <c r="F748" s="450"/>
      <c r="G748" s="498">
        <f>G749+G754</f>
        <v>0</v>
      </c>
      <c r="H748" s="498">
        <f>H749+H754</f>
        <v>0</v>
      </c>
      <c r="I748" s="591">
        <f>I749+I754</f>
        <v>0</v>
      </c>
      <c r="J748" s="591">
        <f>J749+J754</f>
        <v>0</v>
      </c>
      <c r="K748" s="591">
        <f t="shared" si="239"/>
        <v>0</v>
      </c>
      <c r="L748" s="591">
        <f t="shared" si="240"/>
        <v>0</v>
      </c>
      <c r="M748" s="217">
        <f t="shared" si="241"/>
        <v>0</v>
      </c>
      <c r="N748" s="308">
        <f>N749</f>
        <v>2416.288</v>
      </c>
      <c r="R748" s="591">
        <f>R749+R754</f>
        <v>0</v>
      </c>
      <c r="S748" s="591">
        <f>S749+S754</f>
        <v>0</v>
      </c>
      <c r="T748" s="309">
        <f t="shared" si="251"/>
        <v>0</v>
      </c>
      <c r="U748" s="498">
        <f>U749+U754</f>
        <v>6306.91633</v>
      </c>
      <c r="V748" s="498">
        <f>V749+V754</f>
        <v>100</v>
      </c>
      <c r="W748" s="310">
        <f t="shared" si="255"/>
        <v>0</v>
      </c>
      <c r="X748" s="310">
        <f t="shared" si="256"/>
        <v>0</v>
      </c>
    </row>
    <row r="749" spans="1:24" s="307" customFormat="1" ht="12" hidden="1" customHeight="1" x14ac:dyDescent="0.2">
      <c r="A749" s="451" t="s">
        <v>325</v>
      </c>
      <c r="B749" s="306" t="s">
        <v>7</v>
      </c>
      <c r="C749" s="354" t="s">
        <v>621</v>
      </c>
      <c r="D749" s="354" t="s">
        <v>606</v>
      </c>
      <c r="E749" s="450" t="s">
        <v>324</v>
      </c>
      <c r="F749" s="450"/>
      <c r="G749" s="498">
        <f>G752+G750</f>
        <v>0</v>
      </c>
      <c r="H749" s="498">
        <f>H752+H750</f>
        <v>0</v>
      </c>
      <c r="I749" s="591">
        <f>I752+I750</f>
        <v>0</v>
      </c>
      <c r="J749" s="591">
        <f>J752+J750</f>
        <v>0</v>
      </c>
      <c r="K749" s="591">
        <f t="shared" si="239"/>
        <v>0</v>
      </c>
      <c r="L749" s="591">
        <f t="shared" si="240"/>
        <v>0</v>
      </c>
      <c r="M749" s="217">
        <f t="shared" si="241"/>
        <v>0</v>
      </c>
      <c r="N749" s="308">
        <f>N752+N750</f>
        <v>2416.288</v>
      </c>
      <c r="R749" s="591">
        <f>R752+R750</f>
        <v>0</v>
      </c>
      <c r="S749" s="591">
        <f>S752+S750</f>
        <v>0</v>
      </c>
      <c r="T749" s="309">
        <f t="shared" si="251"/>
        <v>0</v>
      </c>
      <c r="U749" s="498">
        <f>U752+U750</f>
        <v>6195.21335</v>
      </c>
      <c r="V749" s="498">
        <f>V752+V750</f>
        <v>0</v>
      </c>
      <c r="W749" s="310">
        <f t="shared" si="255"/>
        <v>0</v>
      </c>
      <c r="X749" s="310">
        <f t="shared" si="256"/>
        <v>0</v>
      </c>
    </row>
    <row r="750" spans="1:24" s="307" customFormat="1" ht="12" hidden="1" customHeight="1" x14ac:dyDescent="0.2">
      <c r="A750" s="451" t="s">
        <v>239</v>
      </c>
      <c r="B750" s="306" t="s">
        <v>7</v>
      </c>
      <c r="C750" s="354" t="s">
        <v>621</v>
      </c>
      <c r="D750" s="354" t="s">
        <v>606</v>
      </c>
      <c r="E750" s="450" t="s">
        <v>1063</v>
      </c>
      <c r="F750" s="450"/>
      <c r="G750" s="498">
        <f>G751</f>
        <v>0</v>
      </c>
      <c r="H750" s="498">
        <f>H751</f>
        <v>0</v>
      </c>
      <c r="I750" s="591">
        <f>I751</f>
        <v>0</v>
      </c>
      <c r="J750" s="591">
        <f>J751</f>
        <v>0</v>
      </c>
      <c r="K750" s="591">
        <f t="shared" si="239"/>
        <v>0</v>
      </c>
      <c r="L750" s="591">
        <f t="shared" si="240"/>
        <v>0</v>
      </c>
      <c r="M750" s="217">
        <f t="shared" si="241"/>
        <v>0</v>
      </c>
      <c r="N750" s="308">
        <f>N751</f>
        <v>910.28800000000001</v>
      </c>
      <c r="R750" s="591">
        <f>R751</f>
        <v>0</v>
      </c>
      <c r="S750" s="591">
        <f>S751</f>
        <v>0</v>
      </c>
      <c r="T750" s="309">
        <f t="shared" si="251"/>
        <v>0</v>
      </c>
      <c r="U750" s="498">
        <f>U751</f>
        <v>4689.21335</v>
      </c>
      <c r="V750" s="498">
        <f>V751</f>
        <v>0</v>
      </c>
      <c r="W750" s="310">
        <f t="shared" si="255"/>
        <v>0</v>
      </c>
      <c r="X750" s="310">
        <f t="shared" si="256"/>
        <v>0</v>
      </c>
    </row>
    <row r="751" spans="1:24" ht="12" hidden="1" customHeight="1" x14ac:dyDescent="0.2">
      <c r="A751" s="124" t="s">
        <v>164</v>
      </c>
      <c r="B751" s="243" t="s">
        <v>7</v>
      </c>
      <c r="C751" s="353" t="s">
        <v>621</v>
      </c>
      <c r="D751" s="353" t="s">
        <v>606</v>
      </c>
      <c r="E751" s="369" t="s">
        <v>1063</v>
      </c>
      <c r="F751" s="369" t="s">
        <v>132</v>
      </c>
      <c r="G751" s="288"/>
      <c r="H751" s="288"/>
      <c r="I751" s="288"/>
      <c r="J751" s="288"/>
      <c r="K751" s="43">
        <f t="shared" si="239"/>
        <v>0</v>
      </c>
      <c r="L751" s="43">
        <f t="shared" si="240"/>
        <v>0</v>
      </c>
      <c r="M751" s="217">
        <f t="shared" si="241"/>
        <v>0</v>
      </c>
      <c r="N751" s="171">
        <v>910.28800000000001</v>
      </c>
      <c r="R751" s="288"/>
      <c r="S751" s="288"/>
      <c r="T751" s="217">
        <f t="shared" si="251"/>
        <v>0</v>
      </c>
      <c r="U751" s="288">
        <v>4689.21335</v>
      </c>
      <c r="V751" s="288">
        <v>0</v>
      </c>
      <c r="W751" s="203">
        <f t="shared" si="255"/>
        <v>0</v>
      </c>
      <c r="X751" s="203">
        <f t="shared" si="256"/>
        <v>0</v>
      </c>
    </row>
    <row r="752" spans="1:24" s="307" customFormat="1" ht="12" hidden="1" customHeight="1" x14ac:dyDescent="0.2">
      <c r="A752" s="451" t="s">
        <v>178</v>
      </c>
      <c r="B752" s="306" t="s">
        <v>7</v>
      </c>
      <c r="C752" s="354" t="s">
        <v>621</v>
      </c>
      <c r="D752" s="354" t="s">
        <v>606</v>
      </c>
      <c r="E752" s="450" t="s">
        <v>561</v>
      </c>
      <c r="F752" s="450"/>
      <c r="G752" s="498">
        <f>G753</f>
        <v>0</v>
      </c>
      <c r="H752" s="498">
        <f>H753</f>
        <v>0</v>
      </c>
      <c r="I752" s="591">
        <f>I753</f>
        <v>0</v>
      </c>
      <c r="J752" s="591">
        <f>J753</f>
        <v>0</v>
      </c>
      <c r="K752" s="591">
        <f t="shared" si="239"/>
        <v>0</v>
      </c>
      <c r="L752" s="591">
        <f t="shared" si="240"/>
        <v>0</v>
      </c>
      <c r="M752" s="217">
        <f t="shared" si="241"/>
        <v>0</v>
      </c>
      <c r="N752" s="308">
        <f>N753</f>
        <v>1506</v>
      </c>
      <c r="R752" s="591">
        <f>R753</f>
        <v>0</v>
      </c>
      <c r="S752" s="591">
        <f>S753</f>
        <v>0</v>
      </c>
      <c r="T752" s="309">
        <f t="shared" si="251"/>
        <v>0</v>
      </c>
      <c r="U752" s="498">
        <f>U753</f>
        <v>1506</v>
      </c>
      <c r="V752" s="498">
        <f>V753</f>
        <v>0</v>
      </c>
      <c r="W752" s="310">
        <f t="shared" si="255"/>
        <v>0</v>
      </c>
      <c r="X752" s="310">
        <f t="shared" si="256"/>
        <v>0</v>
      </c>
    </row>
    <row r="753" spans="1:24" ht="12" hidden="1" customHeight="1" x14ac:dyDescent="0.2">
      <c r="A753" s="124" t="s">
        <v>164</v>
      </c>
      <c r="B753" s="243" t="s">
        <v>7</v>
      </c>
      <c r="C753" s="353" t="s">
        <v>621</v>
      </c>
      <c r="D753" s="353" t="s">
        <v>606</v>
      </c>
      <c r="E753" s="369" t="s">
        <v>561</v>
      </c>
      <c r="F753" s="369" t="s">
        <v>132</v>
      </c>
      <c r="G753" s="288"/>
      <c r="H753" s="288"/>
      <c r="I753" s="288"/>
      <c r="J753" s="288"/>
      <c r="K753" s="43">
        <f t="shared" si="239"/>
        <v>0</v>
      </c>
      <c r="L753" s="43">
        <f t="shared" si="240"/>
        <v>0</v>
      </c>
      <c r="M753" s="217">
        <f t="shared" si="241"/>
        <v>0</v>
      </c>
      <c r="N753" s="171">
        <v>1506</v>
      </c>
      <c r="R753" s="288"/>
      <c r="S753" s="288"/>
      <c r="T753" s="217">
        <f t="shared" si="251"/>
        <v>0</v>
      </c>
      <c r="U753" s="288">
        <v>1506</v>
      </c>
      <c r="V753" s="288">
        <v>0</v>
      </c>
      <c r="W753" s="203">
        <f t="shared" si="255"/>
        <v>0</v>
      </c>
      <c r="X753" s="203">
        <f t="shared" si="256"/>
        <v>0</v>
      </c>
    </row>
    <row r="754" spans="1:24" ht="12" hidden="1" customHeight="1" x14ac:dyDescent="0.2">
      <c r="A754" s="451" t="s">
        <v>1136</v>
      </c>
      <c r="B754" s="306" t="s">
        <v>7</v>
      </c>
      <c r="C754" s="354" t="s">
        <v>621</v>
      </c>
      <c r="D754" s="354" t="s">
        <v>606</v>
      </c>
      <c r="E754" s="450" t="s">
        <v>1382</v>
      </c>
      <c r="F754" s="450"/>
      <c r="G754" s="498">
        <f t="shared" ref="G754:J756" si="257">G755</f>
        <v>0</v>
      </c>
      <c r="H754" s="498">
        <f t="shared" si="257"/>
        <v>0</v>
      </c>
      <c r="I754" s="591">
        <f t="shared" si="257"/>
        <v>0</v>
      </c>
      <c r="J754" s="591">
        <f t="shared" si="257"/>
        <v>0</v>
      </c>
      <c r="K754" s="591">
        <f t="shared" si="239"/>
        <v>0</v>
      </c>
      <c r="L754" s="591">
        <f t="shared" si="240"/>
        <v>0</v>
      </c>
      <c r="M754" s="217">
        <f t="shared" si="241"/>
        <v>0</v>
      </c>
      <c r="N754" s="171"/>
      <c r="R754" s="591">
        <f t="shared" ref="R754:S756" si="258">R755</f>
        <v>0</v>
      </c>
      <c r="S754" s="591">
        <f t="shared" si="258"/>
        <v>0</v>
      </c>
      <c r="T754" s="217"/>
      <c r="U754" s="498">
        <f t="shared" ref="U754:V756" si="259">U755</f>
        <v>111.70298</v>
      </c>
      <c r="V754" s="498">
        <f t="shared" si="259"/>
        <v>100</v>
      </c>
      <c r="W754" s="203"/>
      <c r="X754" s="203"/>
    </row>
    <row r="755" spans="1:24" ht="12" hidden="1" customHeight="1" x14ac:dyDescent="0.2">
      <c r="A755" s="451" t="s">
        <v>1067</v>
      </c>
      <c r="B755" s="306" t="s">
        <v>7</v>
      </c>
      <c r="C755" s="354" t="s">
        <v>621</v>
      </c>
      <c r="D755" s="354" t="s">
        <v>606</v>
      </c>
      <c r="E755" s="450" t="s">
        <v>1380</v>
      </c>
      <c r="F755" s="450"/>
      <c r="G755" s="498">
        <f t="shared" si="257"/>
        <v>0</v>
      </c>
      <c r="H755" s="498">
        <f t="shared" si="257"/>
        <v>0</v>
      </c>
      <c r="I755" s="591">
        <f t="shared" si="257"/>
        <v>0</v>
      </c>
      <c r="J755" s="591">
        <f t="shared" si="257"/>
        <v>0</v>
      </c>
      <c r="K755" s="591">
        <f t="shared" si="239"/>
        <v>0</v>
      </c>
      <c r="L755" s="591">
        <f t="shared" si="240"/>
        <v>0</v>
      </c>
      <c r="M755" s="217">
        <f t="shared" si="241"/>
        <v>0</v>
      </c>
      <c r="N755" s="171"/>
      <c r="R755" s="591">
        <f t="shared" si="258"/>
        <v>0</v>
      </c>
      <c r="S755" s="591">
        <f t="shared" si="258"/>
        <v>0</v>
      </c>
      <c r="T755" s="217"/>
      <c r="U755" s="498">
        <f t="shared" si="259"/>
        <v>111.70298</v>
      </c>
      <c r="V755" s="498">
        <f t="shared" si="259"/>
        <v>100</v>
      </c>
      <c r="W755" s="203"/>
      <c r="X755" s="203"/>
    </row>
    <row r="756" spans="1:24" ht="12" hidden="1" customHeight="1" x14ac:dyDescent="0.2">
      <c r="A756" s="451" t="s">
        <v>1069</v>
      </c>
      <c r="B756" s="306" t="s">
        <v>7</v>
      </c>
      <c r="C756" s="354" t="s">
        <v>621</v>
      </c>
      <c r="D756" s="354" t="s">
        <v>606</v>
      </c>
      <c r="E756" s="450" t="s">
        <v>1381</v>
      </c>
      <c r="F756" s="450"/>
      <c r="G756" s="498">
        <f t="shared" si="257"/>
        <v>0</v>
      </c>
      <c r="H756" s="498">
        <f t="shared" si="257"/>
        <v>0</v>
      </c>
      <c r="I756" s="591">
        <f t="shared" si="257"/>
        <v>0</v>
      </c>
      <c r="J756" s="591">
        <f t="shared" si="257"/>
        <v>0</v>
      </c>
      <c r="K756" s="591">
        <f t="shared" si="239"/>
        <v>0</v>
      </c>
      <c r="L756" s="591">
        <f t="shared" si="240"/>
        <v>0</v>
      </c>
      <c r="M756" s="217">
        <f t="shared" si="241"/>
        <v>0</v>
      </c>
      <c r="N756" s="171"/>
      <c r="R756" s="591">
        <f t="shared" si="258"/>
        <v>0</v>
      </c>
      <c r="S756" s="591">
        <f t="shared" si="258"/>
        <v>0</v>
      </c>
      <c r="T756" s="217"/>
      <c r="U756" s="498">
        <f t="shared" si="259"/>
        <v>111.70298</v>
      </c>
      <c r="V756" s="498">
        <f t="shared" si="259"/>
        <v>100</v>
      </c>
      <c r="W756" s="203"/>
      <c r="X756" s="203"/>
    </row>
    <row r="757" spans="1:24" ht="12" hidden="1" customHeight="1" x14ac:dyDescent="0.2">
      <c r="A757" s="124" t="s">
        <v>164</v>
      </c>
      <c r="B757" s="243" t="s">
        <v>7</v>
      </c>
      <c r="C757" s="353" t="s">
        <v>621</v>
      </c>
      <c r="D757" s="353" t="s">
        <v>606</v>
      </c>
      <c r="E757" s="369" t="s">
        <v>1381</v>
      </c>
      <c r="F757" s="369" t="s">
        <v>132</v>
      </c>
      <c r="G757" s="288"/>
      <c r="H757" s="265"/>
      <c r="I757" s="288"/>
      <c r="J757" s="265"/>
      <c r="K757" s="130">
        <f t="shared" si="239"/>
        <v>0</v>
      </c>
      <c r="L757" s="130">
        <f t="shared" si="240"/>
        <v>0</v>
      </c>
      <c r="M757" s="217">
        <f t="shared" si="241"/>
        <v>0</v>
      </c>
      <c r="N757" s="171"/>
      <c r="R757" s="288"/>
      <c r="S757" s="265"/>
      <c r="T757" s="217"/>
      <c r="U757" s="288">
        <v>111.70298</v>
      </c>
      <c r="V757" s="265">
        <v>100</v>
      </c>
      <c r="W757" s="203"/>
      <c r="X757" s="203"/>
    </row>
    <row r="758" spans="1:24" s="307" customFormat="1" ht="27" hidden="1" customHeight="1" x14ac:dyDescent="0.2">
      <c r="A758" s="451" t="s">
        <v>717</v>
      </c>
      <c r="B758" s="306" t="s">
        <v>7</v>
      </c>
      <c r="C758" s="354" t="s">
        <v>621</v>
      </c>
      <c r="D758" s="354" t="s">
        <v>606</v>
      </c>
      <c r="E758" s="450" t="s">
        <v>714</v>
      </c>
      <c r="F758" s="450"/>
      <c r="G758" s="498">
        <f>G768+G759+G762+G765</f>
        <v>0</v>
      </c>
      <c r="H758" s="498">
        <f>H768+H759+H762+H765</f>
        <v>0</v>
      </c>
      <c r="I758" s="591">
        <f>I768+I759+I762+I765</f>
        <v>0</v>
      </c>
      <c r="J758" s="591">
        <f>J768+J759+J762+J765</f>
        <v>0</v>
      </c>
      <c r="K758" s="591">
        <f t="shared" si="239"/>
        <v>0</v>
      </c>
      <c r="L758" s="591">
        <f t="shared" si="240"/>
        <v>0</v>
      </c>
      <c r="M758" s="217">
        <f t="shared" si="241"/>
        <v>0</v>
      </c>
      <c r="N758" s="308"/>
      <c r="R758" s="591">
        <f>R768+R759+R762+R765</f>
        <v>0</v>
      </c>
      <c r="S758" s="591">
        <f>S768+S759+S762+S765</f>
        <v>0</v>
      </c>
      <c r="T758" s="309"/>
      <c r="U758" s="498">
        <f>U768+U759+U762+U765</f>
        <v>4426.3099999999995</v>
      </c>
      <c r="V758" s="498">
        <f>V768+V759+V762+V765</f>
        <v>2750.7284800000002</v>
      </c>
      <c r="W758" s="310">
        <f t="shared" si="255"/>
        <v>0</v>
      </c>
      <c r="X758" s="310">
        <f t="shared" si="256"/>
        <v>0</v>
      </c>
    </row>
    <row r="759" spans="1:24" s="307" customFormat="1" ht="25.5" hidden="1" customHeight="1" x14ac:dyDescent="0.2">
      <c r="A759" s="501" t="s">
        <v>1006</v>
      </c>
      <c r="B759" s="306" t="s">
        <v>7</v>
      </c>
      <c r="C759" s="354" t="s">
        <v>621</v>
      </c>
      <c r="D759" s="354" t="s">
        <v>606</v>
      </c>
      <c r="E759" s="495" t="s">
        <v>715</v>
      </c>
      <c r="F759" s="495"/>
      <c r="G759" s="498">
        <f t="shared" ref="G759:J760" si="260">G760</f>
        <v>0</v>
      </c>
      <c r="H759" s="498">
        <f t="shared" si="260"/>
        <v>0</v>
      </c>
      <c r="I759" s="591">
        <f t="shared" si="260"/>
        <v>0</v>
      </c>
      <c r="J759" s="591">
        <f t="shared" si="260"/>
        <v>0</v>
      </c>
      <c r="K759" s="591">
        <f t="shared" si="239"/>
        <v>0</v>
      </c>
      <c r="L759" s="591">
        <f t="shared" si="240"/>
        <v>0</v>
      </c>
      <c r="M759" s="217">
        <f t="shared" ref="M759:M767" si="261">I759-G759-K759</f>
        <v>0</v>
      </c>
      <c r="N759" s="308"/>
      <c r="R759" s="591">
        <f>R760</f>
        <v>0</v>
      </c>
      <c r="S759" s="591">
        <f>S760</f>
        <v>0</v>
      </c>
      <c r="T759" s="309"/>
      <c r="U759" s="498">
        <f>U760</f>
        <v>0</v>
      </c>
      <c r="V759" s="498">
        <f>V760</f>
        <v>0</v>
      </c>
      <c r="W759" s="310">
        <f t="shared" ref="W759:W767" si="262">G759-I759</f>
        <v>0</v>
      </c>
      <c r="X759" s="310">
        <f t="shared" ref="X759:X767" si="263">K759+W759</f>
        <v>0</v>
      </c>
    </row>
    <row r="760" spans="1:24" s="307" customFormat="1" ht="26.25" hidden="1" customHeight="1" x14ac:dyDescent="0.2">
      <c r="A760" s="501" t="s">
        <v>1007</v>
      </c>
      <c r="B760" s="306" t="s">
        <v>7</v>
      </c>
      <c r="C760" s="354" t="s">
        <v>621</v>
      </c>
      <c r="D760" s="354" t="s">
        <v>606</v>
      </c>
      <c r="E760" s="495" t="s">
        <v>1005</v>
      </c>
      <c r="F760" s="495"/>
      <c r="G760" s="498">
        <f t="shared" si="260"/>
        <v>0</v>
      </c>
      <c r="H760" s="498">
        <f t="shared" si="260"/>
        <v>0</v>
      </c>
      <c r="I760" s="591">
        <f t="shared" si="260"/>
        <v>0</v>
      </c>
      <c r="J760" s="591">
        <f t="shared" si="260"/>
        <v>0</v>
      </c>
      <c r="K760" s="591">
        <f t="shared" si="239"/>
        <v>0</v>
      </c>
      <c r="L760" s="591">
        <f t="shared" si="240"/>
        <v>0</v>
      </c>
      <c r="M760" s="217">
        <f t="shared" si="261"/>
        <v>0</v>
      </c>
      <c r="N760" s="308"/>
      <c r="R760" s="591">
        <f>R761</f>
        <v>0</v>
      </c>
      <c r="S760" s="591">
        <f>S761</f>
        <v>0</v>
      </c>
      <c r="T760" s="309"/>
      <c r="U760" s="498">
        <f>U761</f>
        <v>0</v>
      </c>
      <c r="V760" s="498">
        <f>V761</f>
        <v>0</v>
      </c>
      <c r="W760" s="310">
        <f t="shared" si="262"/>
        <v>0</v>
      </c>
      <c r="X760" s="310">
        <f t="shared" si="263"/>
        <v>0</v>
      </c>
    </row>
    <row r="761" spans="1:24" ht="12" hidden="1" customHeight="1" x14ac:dyDescent="0.2">
      <c r="A761" s="124" t="s">
        <v>164</v>
      </c>
      <c r="B761" s="243" t="s">
        <v>7</v>
      </c>
      <c r="C761" s="353" t="s">
        <v>621</v>
      </c>
      <c r="D761" s="353" t="s">
        <v>606</v>
      </c>
      <c r="E761" s="369" t="s">
        <v>1005</v>
      </c>
      <c r="F761" s="369" t="s">
        <v>132</v>
      </c>
      <c r="G761" s="288">
        <v>0</v>
      </c>
      <c r="H761" s="265"/>
      <c r="I761" s="288">
        <v>0</v>
      </c>
      <c r="J761" s="265"/>
      <c r="K761" s="255">
        <f t="shared" si="239"/>
        <v>0</v>
      </c>
      <c r="L761" s="43">
        <f t="shared" si="240"/>
        <v>0</v>
      </c>
      <c r="M761" s="217">
        <f t="shared" si="261"/>
        <v>0</v>
      </c>
      <c r="N761" s="171"/>
      <c r="R761" s="288">
        <v>0</v>
      </c>
      <c r="S761" s="265"/>
      <c r="T761" s="217"/>
      <c r="U761" s="288">
        <v>0</v>
      </c>
      <c r="V761" s="265"/>
      <c r="W761" s="203">
        <f t="shared" si="262"/>
        <v>0</v>
      </c>
      <c r="X761" s="203">
        <f t="shared" si="263"/>
        <v>0</v>
      </c>
    </row>
    <row r="762" spans="1:24" s="307" customFormat="1" ht="28.5" hidden="1" customHeight="1" x14ac:dyDescent="0.2">
      <c r="A762" s="501" t="s">
        <v>1196</v>
      </c>
      <c r="B762" s="306" t="s">
        <v>7</v>
      </c>
      <c r="C762" s="354" t="s">
        <v>621</v>
      </c>
      <c r="D762" s="354" t="s">
        <v>606</v>
      </c>
      <c r="E762" s="495" t="s">
        <v>1195</v>
      </c>
      <c r="F762" s="495"/>
      <c r="G762" s="498">
        <f t="shared" ref="G762:J763" si="264">G763</f>
        <v>0</v>
      </c>
      <c r="H762" s="498">
        <f t="shared" si="264"/>
        <v>0</v>
      </c>
      <c r="I762" s="591">
        <f t="shared" si="264"/>
        <v>0</v>
      </c>
      <c r="J762" s="591">
        <f t="shared" si="264"/>
        <v>0</v>
      </c>
      <c r="K762" s="591">
        <f t="shared" si="239"/>
        <v>0</v>
      </c>
      <c r="L762" s="591">
        <f t="shared" si="240"/>
        <v>0</v>
      </c>
      <c r="M762" s="217">
        <f t="shared" si="261"/>
        <v>0</v>
      </c>
      <c r="N762" s="292">
        <f>N767+N763</f>
        <v>0</v>
      </c>
      <c r="R762" s="591">
        <f>R763</f>
        <v>0</v>
      </c>
      <c r="S762" s="591">
        <f>S763</f>
        <v>0</v>
      </c>
      <c r="T762" s="309">
        <f>I762-G762</f>
        <v>0</v>
      </c>
      <c r="U762" s="498">
        <f>U763</f>
        <v>0</v>
      </c>
      <c r="V762" s="498">
        <f>V763</f>
        <v>0</v>
      </c>
      <c r="W762" s="310">
        <f t="shared" si="262"/>
        <v>0</v>
      </c>
      <c r="X762" s="310">
        <f t="shared" si="263"/>
        <v>0</v>
      </c>
    </row>
    <row r="763" spans="1:24" s="307" customFormat="1" ht="12" hidden="1" customHeight="1" x14ac:dyDescent="0.2">
      <c r="A763" s="501" t="s">
        <v>294</v>
      </c>
      <c r="B763" s="306" t="s">
        <v>7</v>
      </c>
      <c r="C763" s="354" t="s">
        <v>621</v>
      </c>
      <c r="D763" s="354" t="s">
        <v>606</v>
      </c>
      <c r="E763" s="495" t="s">
        <v>992</v>
      </c>
      <c r="F763" s="495"/>
      <c r="G763" s="498">
        <f t="shared" si="264"/>
        <v>0</v>
      </c>
      <c r="H763" s="498">
        <f t="shared" si="264"/>
        <v>0</v>
      </c>
      <c r="I763" s="591">
        <f t="shared" si="264"/>
        <v>0</v>
      </c>
      <c r="J763" s="591">
        <f t="shared" si="264"/>
        <v>0</v>
      </c>
      <c r="K763" s="591">
        <f t="shared" si="239"/>
        <v>0</v>
      </c>
      <c r="L763" s="591">
        <f t="shared" si="240"/>
        <v>0</v>
      </c>
      <c r="M763" s="217">
        <f t="shared" si="261"/>
        <v>0</v>
      </c>
      <c r="N763" s="308"/>
      <c r="R763" s="591">
        <f>R764</f>
        <v>0</v>
      </c>
      <c r="S763" s="591">
        <f>S764</f>
        <v>0</v>
      </c>
      <c r="T763" s="309"/>
      <c r="U763" s="498">
        <f>U764</f>
        <v>0</v>
      </c>
      <c r="V763" s="498">
        <f>V764</f>
        <v>0</v>
      </c>
      <c r="W763" s="310">
        <f t="shared" si="262"/>
        <v>0</v>
      </c>
      <c r="X763" s="310">
        <f t="shared" si="263"/>
        <v>0</v>
      </c>
    </row>
    <row r="764" spans="1:24" ht="12" hidden="1" customHeight="1" x14ac:dyDescent="0.2">
      <c r="A764" s="124" t="s">
        <v>164</v>
      </c>
      <c r="B764" s="243" t="s">
        <v>7</v>
      </c>
      <c r="C764" s="353" t="s">
        <v>621</v>
      </c>
      <c r="D764" s="353" t="s">
        <v>606</v>
      </c>
      <c r="E764" s="369" t="s">
        <v>992</v>
      </c>
      <c r="F764" s="369" t="s">
        <v>132</v>
      </c>
      <c r="G764" s="288">
        <f>300-300</f>
        <v>0</v>
      </c>
      <c r="H764" s="288"/>
      <c r="I764" s="288">
        <f>300-300</f>
        <v>0</v>
      </c>
      <c r="J764" s="288"/>
      <c r="K764" s="43">
        <f t="shared" si="239"/>
        <v>0</v>
      </c>
      <c r="L764" s="43">
        <f t="shared" si="240"/>
        <v>0</v>
      </c>
      <c r="M764" s="217">
        <f t="shared" si="261"/>
        <v>0</v>
      </c>
      <c r="N764" s="171"/>
      <c r="R764" s="288">
        <f>300-300</f>
        <v>0</v>
      </c>
      <c r="S764" s="288"/>
      <c r="T764" s="217"/>
      <c r="U764" s="288">
        <f>300-300</f>
        <v>0</v>
      </c>
      <c r="V764" s="288"/>
      <c r="W764" s="203">
        <f t="shared" si="262"/>
        <v>0</v>
      </c>
      <c r="X764" s="203">
        <f t="shared" si="263"/>
        <v>0</v>
      </c>
    </row>
    <row r="765" spans="1:24" s="307" customFormat="1" ht="13.5" hidden="1" customHeight="1" x14ac:dyDescent="0.2">
      <c r="A765" s="501" t="s">
        <v>995</v>
      </c>
      <c r="B765" s="306" t="s">
        <v>7</v>
      </c>
      <c r="C765" s="354" t="s">
        <v>621</v>
      </c>
      <c r="D765" s="354" t="s">
        <v>606</v>
      </c>
      <c r="E765" s="495" t="s">
        <v>993</v>
      </c>
      <c r="F765" s="495"/>
      <c r="G765" s="498">
        <f t="shared" ref="G765:J766" si="265">G766</f>
        <v>0</v>
      </c>
      <c r="H765" s="498">
        <f t="shared" si="265"/>
        <v>0</v>
      </c>
      <c r="I765" s="591">
        <f t="shared" si="265"/>
        <v>0</v>
      </c>
      <c r="J765" s="591">
        <f t="shared" si="265"/>
        <v>0</v>
      </c>
      <c r="K765" s="591">
        <f t="shared" si="239"/>
        <v>0</v>
      </c>
      <c r="L765" s="591">
        <f t="shared" si="240"/>
        <v>0</v>
      </c>
      <c r="M765" s="217">
        <f t="shared" si="261"/>
        <v>0</v>
      </c>
      <c r="N765" s="308"/>
      <c r="R765" s="591">
        <f>R766</f>
        <v>0</v>
      </c>
      <c r="S765" s="591">
        <f>S766</f>
        <v>0</v>
      </c>
      <c r="T765" s="309"/>
      <c r="U765" s="498">
        <f>U766</f>
        <v>1500</v>
      </c>
      <c r="V765" s="498">
        <f>V766</f>
        <v>0</v>
      </c>
      <c r="W765" s="310">
        <f t="shared" si="262"/>
        <v>0</v>
      </c>
      <c r="X765" s="310">
        <f t="shared" si="263"/>
        <v>0</v>
      </c>
    </row>
    <row r="766" spans="1:24" s="307" customFormat="1" ht="12" hidden="1" customHeight="1" x14ac:dyDescent="0.2">
      <c r="A766" s="501" t="s">
        <v>294</v>
      </c>
      <c r="B766" s="306" t="s">
        <v>7</v>
      </c>
      <c r="C766" s="354" t="s">
        <v>621</v>
      </c>
      <c r="D766" s="354" t="s">
        <v>606</v>
      </c>
      <c r="E766" s="495" t="s">
        <v>994</v>
      </c>
      <c r="F766" s="495"/>
      <c r="G766" s="498">
        <f t="shared" si="265"/>
        <v>0</v>
      </c>
      <c r="H766" s="498">
        <f t="shared" si="265"/>
        <v>0</v>
      </c>
      <c r="I766" s="591">
        <f t="shared" si="265"/>
        <v>0</v>
      </c>
      <c r="J766" s="591">
        <f t="shared" si="265"/>
        <v>0</v>
      </c>
      <c r="K766" s="591">
        <f t="shared" si="239"/>
        <v>0</v>
      </c>
      <c r="L766" s="591">
        <f t="shared" si="240"/>
        <v>0</v>
      </c>
      <c r="M766" s="217">
        <f t="shared" si="261"/>
        <v>0</v>
      </c>
      <c r="N766" s="308"/>
      <c r="R766" s="591">
        <f>R767</f>
        <v>0</v>
      </c>
      <c r="S766" s="591">
        <f>S767</f>
        <v>0</v>
      </c>
      <c r="T766" s="309"/>
      <c r="U766" s="498">
        <f>U767</f>
        <v>1500</v>
      </c>
      <c r="V766" s="498">
        <f>V767</f>
        <v>0</v>
      </c>
      <c r="W766" s="310">
        <f t="shared" si="262"/>
        <v>0</v>
      </c>
      <c r="X766" s="310">
        <f t="shared" si="263"/>
        <v>0</v>
      </c>
    </row>
    <row r="767" spans="1:24" ht="12" hidden="1" customHeight="1" x14ac:dyDescent="0.2">
      <c r="A767" s="124" t="s">
        <v>164</v>
      </c>
      <c r="B767" s="243" t="s">
        <v>7</v>
      </c>
      <c r="C767" s="353" t="s">
        <v>621</v>
      </c>
      <c r="D767" s="353" t="s">
        <v>606</v>
      </c>
      <c r="E767" s="369" t="s">
        <v>994</v>
      </c>
      <c r="F767" s="369" t="s">
        <v>132</v>
      </c>
      <c r="G767" s="288">
        <v>0</v>
      </c>
      <c r="H767" s="288"/>
      <c r="I767" s="288">
        <v>0</v>
      </c>
      <c r="J767" s="288"/>
      <c r="K767" s="43">
        <f t="shared" si="239"/>
        <v>0</v>
      </c>
      <c r="L767" s="43">
        <f t="shared" si="240"/>
        <v>0</v>
      </c>
      <c r="M767" s="217">
        <f t="shared" si="261"/>
        <v>0</v>
      </c>
      <c r="N767" s="171"/>
      <c r="R767" s="288">
        <v>0</v>
      </c>
      <c r="S767" s="288"/>
      <c r="T767" s="217"/>
      <c r="U767" s="288">
        <v>1500</v>
      </c>
      <c r="V767" s="288"/>
      <c r="W767" s="203">
        <f t="shared" si="262"/>
        <v>0</v>
      </c>
      <c r="X767" s="203">
        <f t="shared" si="263"/>
        <v>0</v>
      </c>
    </row>
    <row r="768" spans="1:24" s="307" customFormat="1" ht="27" hidden="1" customHeight="1" x14ac:dyDescent="0.2">
      <c r="A768" s="451" t="s">
        <v>1136</v>
      </c>
      <c r="B768" s="306" t="s">
        <v>7</v>
      </c>
      <c r="C768" s="354" t="s">
        <v>621</v>
      </c>
      <c r="D768" s="354" t="s">
        <v>606</v>
      </c>
      <c r="E768" s="450" t="s">
        <v>1135</v>
      </c>
      <c r="F768" s="450"/>
      <c r="G768" s="498">
        <f>G769</f>
        <v>0</v>
      </c>
      <c r="H768" s="498">
        <f>H769</f>
        <v>0</v>
      </c>
      <c r="I768" s="591">
        <f>I769</f>
        <v>0</v>
      </c>
      <c r="J768" s="591">
        <f>J769</f>
        <v>0</v>
      </c>
      <c r="K768" s="591">
        <f t="shared" si="239"/>
        <v>0</v>
      </c>
      <c r="L768" s="591">
        <f t="shared" si="240"/>
        <v>0</v>
      </c>
      <c r="M768" s="217">
        <f t="shared" si="241"/>
        <v>0</v>
      </c>
      <c r="N768" s="308"/>
      <c r="R768" s="591">
        <f>R769</f>
        <v>0</v>
      </c>
      <c r="S768" s="591">
        <f>S769</f>
        <v>0</v>
      </c>
      <c r="T768" s="309"/>
      <c r="U768" s="498">
        <f>U769</f>
        <v>2926.31</v>
      </c>
      <c r="V768" s="498">
        <f>V769</f>
        <v>2750.7284800000002</v>
      </c>
      <c r="W768" s="310"/>
      <c r="X768" s="310"/>
    </row>
    <row r="769" spans="1:24" s="307" customFormat="1" ht="16.5" hidden="1" customHeight="1" x14ac:dyDescent="0.2">
      <c r="A769" s="451" t="s">
        <v>1067</v>
      </c>
      <c r="B769" s="306" t="s">
        <v>7</v>
      </c>
      <c r="C769" s="354" t="s">
        <v>621</v>
      </c>
      <c r="D769" s="354" t="s">
        <v>606</v>
      </c>
      <c r="E769" s="450" t="s">
        <v>1066</v>
      </c>
      <c r="F769" s="450"/>
      <c r="G769" s="498">
        <f>G770+G772+G774</f>
        <v>0</v>
      </c>
      <c r="H769" s="498">
        <f>H770+H772+H774</f>
        <v>0</v>
      </c>
      <c r="I769" s="591">
        <f>I770+I772+I774</f>
        <v>0</v>
      </c>
      <c r="J769" s="591">
        <f>J770+J772+J774</f>
        <v>0</v>
      </c>
      <c r="K769" s="591">
        <f t="shared" si="239"/>
        <v>0</v>
      </c>
      <c r="L769" s="591">
        <f t="shared" si="240"/>
        <v>0</v>
      </c>
      <c r="M769" s="217">
        <f t="shared" si="241"/>
        <v>0</v>
      </c>
      <c r="N769" s="308"/>
      <c r="R769" s="591">
        <f>R770+R772+R774</f>
        <v>0</v>
      </c>
      <c r="S769" s="591">
        <f>S770+S772+S774</f>
        <v>0</v>
      </c>
      <c r="T769" s="309"/>
      <c r="U769" s="498">
        <f>U770+U772+U774</f>
        <v>2926.31</v>
      </c>
      <c r="V769" s="498">
        <f>V770+V772+V774</f>
        <v>2750.7284800000002</v>
      </c>
      <c r="W769" s="310"/>
      <c r="X769" s="310"/>
    </row>
    <row r="770" spans="1:24" s="307" customFormat="1" ht="15.75" hidden="1" customHeight="1" x14ac:dyDescent="0.2">
      <c r="A770" s="451" t="s">
        <v>1263</v>
      </c>
      <c r="B770" s="306" t="s">
        <v>7</v>
      </c>
      <c r="C770" s="354" t="s">
        <v>621</v>
      </c>
      <c r="D770" s="354" t="s">
        <v>606</v>
      </c>
      <c r="E770" s="450" t="s">
        <v>1262</v>
      </c>
      <c r="F770" s="450"/>
      <c r="G770" s="498">
        <f>G771</f>
        <v>0</v>
      </c>
      <c r="H770" s="498">
        <f>H771</f>
        <v>0</v>
      </c>
      <c r="I770" s="591">
        <f>I771</f>
        <v>0</v>
      </c>
      <c r="J770" s="591">
        <f>J771</f>
        <v>0</v>
      </c>
      <c r="K770" s="591">
        <f t="shared" si="239"/>
        <v>0</v>
      </c>
      <c r="L770" s="591">
        <f t="shared" si="240"/>
        <v>0</v>
      </c>
      <c r="M770" s="217">
        <f t="shared" si="241"/>
        <v>0</v>
      </c>
      <c r="N770" s="308"/>
      <c r="R770" s="591">
        <f>R771</f>
        <v>0</v>
      </c>
      <c r="S770" s="591">
        <f>S771</f>
        <v>0</v>
      </c>
      <c r="T770" s="309"/>
      <c r="U770" s="498">
        <f>U771</f>
        <v>0</v>
      </c>
      <c r="V770" s="498">
        <f>V771</f>
        <v>0</v>
      </c>
      <c r="W770" s="310"/>
      <c r="X770" s="310"/>
    </row>
    <row r="771" spans="1:24" s="307" customFormat="1" ht="16.5" hidden="1" customHeight="1" x14ac:dyDescent="0.2">
      <c r="A771" s="124" t="s">
        <v>164</v>
      </c>
      <c r="B771" s="243" t="s">
        <v>7</v>
      </c>
      <c r="C771" s="353" t="s">
        <v>621</v>
      </c>
      <c r="D771" s="353" t="s">
        <v>606</v>
      </c>
      <c r="E771" s="369" t="s">
        <v>1262</v>
      </c>
      <c r="F771" s="369" t="s">
        <v>132</v>
      </c>
      <c r="G771" s="288"/>
      <c r="H771" s="288"/>
      <c r="I771" s="288"/>
      <c r="J771" s="288"/>
      <c r="K771" s="43">
        <f t="shared" si="239"/>
        <v>0</v>
      </c>
      <c r="L771" s="43">
        <f t="shared" si="240"/>
        <v>0</v>
      </c>
      <c r="M771" s="217">
        <f t="shared" si="241"/>
        <v>0</v>
      </c>
      <c r="N771" s="308"/>
      <c r="R771" s="288"/>
      <c r="S771" s="288"/>
      <c r="T771" s="309"/>
      <c r="U771" s="288"/>
      <c r="V771" s="288"/>
      <c r="W771" s="310"/>
      <c r="X771" s="310"/>
    </row>
    <row r="772" spans="1:24" s="307" customFormat="1" ht="13.5" hidden="1" customHeight="1" x14ac:dyDescent="0.2">
      <c r="A772" s="451" t="s">
        <v>1263</v>
      </c>
      <c r="B772" s="306" t="s">
        <v>7</v>
      </c>
      <c r="C772" s="354" t="s">
        <v>621</v>
      </c>
      <c r="D772" s="354" t="s">
        <v>606</v>
      </c>
      <c r="E772" s="450" t="s">
        <v>1262</v>
      </c>
      <c r="F772" s="450"/>
      <c r="G772" s="498">
        <f>G773</f>
        <v>0</v>
      </c>
      <c r="H772" s="498">
        <f>H773</f>
        <v>0</v>
      </c>
      <c r="I772" s="591">
        <f>I773</f>
        <v>0</v>
      </c>
      <c r="J772" s="591">
        <f>J773</f>
        <v>0</v>
      </c>
      <c r="K772" s="591">
        <f t="shared" ref="K772:K838" si="266">I772-G772</f>
        <v>0</v>
      </c>
      <c r="L772" s="591">
        <f t="shared" ref="L772:L838" si="267">J772-H772</f>
        <v>0</v>
      </c>
      <c r="M772" s="217">
        <f t="shared" si="241"/>
        <v>0</v>
      </c>
      <c r="N772" s="308"/>
      <c r="R772" s="591">
        <f>R773</f>
        <v>0</v>
      </c>
      <c r="S772" s="591">
        <f>S773</f>
        <v>0</v>
      </c>
      <c r="T772" s="309"/>
      <c r="U772" s="498">
        <f>U773</f>
        <v>0</v>
      </c>
      <c r="V772" s="498">
        <f>V773</f>
        <v>0</v>
      </c>
      <c r="W772" s="310"/>
      <c r="X772" s="310"/>
    </row>
    <row r="773" spans="1:24" s="307" customFormat="1" ht="13.5" hidden="1" customHeight="1" x14ac:dyDescent="0.2">
      <c r="A773" s="124" t="s">
        <v>164</v>
      </c>
      <c r="B773" s="243" t="s">
        <v>7</v>
      </c>
      <c r="C773" s="353" t="s">
        <v>621</v>
      </c>
      <c r="D773" s="353" t="s">
        <v>606</v>
      </c>
      <c r="E773" s="369" t="s">
        <v>1262</v>
      </c>
      <c r="F773" s="369" t="s">
        <v>132</v>
      </c>
      <c r="G773" s="288"/>
      <c r="H773" s="288"/>
      <c r="I773" s="288"/>
      <c r="J773" s="288"/>
      <c r="K773" s="43">
        <f t="shared" si="266"/>
        <v>0</v>
      </c>
      <c r="L773" s="43">
        <f t="shared" si="267"/>
        <v>0</v>
      </c>
      <c r="M773" s="217">
        <f t="shared" si="241"/>
        <v>0</v>
      </c>
      <c r="N773" s="308"/>
      <c r="R773" s="288"/>
      <c r="S773" s="288"/>
      <c r="T773" s="309"/>
      <c r="U773" s="288"/>
      <c r="V773" s="288"/>
      <c r="W773" s="310"/>
      <c r="X773" s="310"/>
    </row>
    <row r="774" spans="1:24" s="307" customFormat="1" ht="12" hidden="1" customHeight="1" x14ac:dyDescent="0.2">
      <c r="A774" s="451" t="s">
        <v>1069</v>
      </c>
      <c r="B774" s="306" t="s">
        <v>7</v>
      </c>
      <c r="C774" s="354" t="s">
        <v>621</v>
      </c>
      <c r="D774" s="354" t="s">
        <v>606</v>
      </c>
      <c r="E774" s="450" t="s">
        <v>1068</v>
      </c>
      <c r="F774" s="450"/>
      <c r="G774" s="498">
        <f>G775</f>
        <v>0</v>
      </c>
      <c r="H774" s="498">
        <f>H775</f>
        <v>0</v>
      </c>
      <c r="I774" s="591">
        <f>I775</f>
        <v>0</v>
      </c>
      <c r="J774" s="591">
        <f>J775</f>
        <v>0</v>
      </c>
      <c r="K774" s="591">
        <f t="shared" si="266"/>
        <v>0</v>
      </c>
      <c r="L774" s="591">
        <f t="shared" si="267"/>
        <v>0</v>
      </c>
      <c r="M774" s="217">
        <f t="shared" si="241"/>
        <v>0</v>
      </c>
      <c r="N774" s="308"/>
      <c r="R774" s="591">
        <f>R775</f>
        <v>0</v>
      </c>
      <c r="S774" s="591">
        <f>S775</f>
        <v>0</v>
      </c>
      <c r="T774" s="309"/>
      <c r="U774" s="498">
        <f>U775</f>
        <v>2926.31</v>
      </c>
      <c r="V774" s="498">
        <f>V775</f>
        <v>2750.7284800000002</v>
      </c>
      <c r="W774" s="310">
        <f t="shared" si="255"/>
        <v>0</v>
      </c>
      <c r="X774" s="310">
        <f t="shared" si="256"/>
        <v>0</v>
      </c>
    </row>
    <row r="775" spans="1:24" ht="12" hidden="1" customHeight="1" x14ac:dyDescent="0.2">
      <c r="A775" s="124" t="s">
        <v>164</v>
      </c>
      <c r="B775" s="243" t="s">
        <v>7</v>
      </c>
      <c r="C775" s="353" t="s">
        <v>621</v>
      </c>
      <c r="D775" s="353" t="s">
        <v>606</v>
      </c>
      <c r="E775" s="369" t="s">
        <v>1068</v>
      </c>
      <c r="F775" s="369" t="s">
        <v>132</v>
      </c>
      <c r="G775" s="288"/>
      <c r="H775" s="265"/>
      <c r="I775" s="288"/>
      <c r="J775" s="265"/>
      <c r="K775" s="43">
        <f t="shared" si="266"/>
        <v>0</v>
      </c>
      <c r="L775" s="43">
        <f t="shared" si="267"/>
        <v>0</v>
      </c>
      <c r="M775" s="217">
        <f t="shared" si="241"/>
        <v>0</v>
      </c>
      <c r="N775" s="171"/>
      <c r="R775" s="288"/>
      <c r="S775" s="265"/>
      <c r="T775" s="217"/>
      <c r="U775" s="288">
        <v>2926.31</v>
      </c>
      <c r="V775" s="265">
        <v>2750.7284800000002</v>
      </c>
      <c r="W775" s="203">
        <f t="shared" si="255"/>
        <v>0</v>
      </c>
      <c r="X775" s="203">
        <f t="shared" si="256"/>
        <v>0</v>
      </c>
    </row>
    <row r="776" spans="1:24" s="307" customFormat="1" ht="36" hidden="1" customHeight="1" x14ac:dyDescent="0.2">
      <c r="A776" s="451" t="s">
        <v>684</v>
      </c>
      <c r="B776" s="306" t="s">
        <v>7</v>
      </c>
      <c r="C776" s="354" t="s">
        <v>621</v>
      </c>
      <c r="D776" s="354" t="s">
        <v>606</v>
      </c>
      <c r="E776" s="450" t="s">
        <v>676</v>
      </c>
      <c r="F776" s="450"/>
      <c r="G776" s="498">
        <f>G777+G780</f>
        <v>0</v>
      </c>
      <c r="H776" s="498">
        <f>H777+H780</f>
        <v>0</v>
      </c>
      <c r="I776" s="591">
        <f>I777+I780</f>
        <v>0</v>
      </c>
      <c r="J776" s="591">
        <f>J777+J780</f>
        <v>0</v>
      </c>
      <c r="K776" s="591">
        <f t="shared" si="266"/>
        <v>0</v>
      </c>
      <c r="L776" s="591">
        <f t="shared" si="267"/>
        <v>0</v>
      </c>
      <c r="M776" s="217">
        <f t="shared" si="241"/>
        <v>0</v>
      </c>
      <c r="N776" s="308"/>
      <c r="R776" s="591">
        <f>R777+R780</f>
        <v>0</v>
      </c>
      <c r="S776" s="591">
        <f>S777+S780</f>
        <v>0</v>
      </c>
      <c r="T776" s="309">
        <f t="shared" ref="T776:T786" si="268">I776-G776</f>
        <v>0</v>
      </c>
      <c r="U776" s="498">
        <f>U777+U780</f>
        <v>0</v>
      </c>
      <c r="V776" s="498">
        <f>V777+V780</f>
        <v>0</v>
      </c>
      <c r="W776" s="310">
        <f t="shared" si="255"/>
        <v>0</v>
      </c>
      <c r="X776" s="310">
        <f t="shared" si="256"/>
        <v>0</v>
      </c>
    </row>
    <row r="777" spans="1:24" s="307" customFormat="1" ht="36" hidden="1" customHeight="1" x14ac:dyDescent="0.2">
      <c r="A777" s="451" t="s">
        <v>812</v>
      </c>
      <c r="B777" s="306" t="s">
        <v>7</v>
      </c>
      <c r="C777" s="354" t="s">
        <v>621</v>
      </c>
      <c r="D777" s="354" t="s">
        <v>606</v>
      </c>
      <c r="E777" s="450" t="s">
        <v>681</v>
      </c>
      <c r="F777" s="450"/>
      <c r="G777" s="498">
        <f t="shared" ref="G777:J778" si="269">G778</f>
        <v>0</v>
      </c>
      <c r="H777" s="498">
        <f t="shared" si="269"/>
        <v>0</v>
      </c>
      <c r="I777" s="591">
        <f t="shared" si="269"/>
        <v>0</v>
      </c>
      <c r="J777" s="591">
        <f t="shared" si="269"/>
        <v>0</v>
      </c>
      <c r="K777" s="591">
        <f t="shared" si="266"/>
        <v>0</v>
      </c>
      <c r="L777" s="591">
        <f t="shared" si="267"/>
        <v>0</v>
      </c>
      <c r="M777" s="217">
        <f t="shared" si="241"/>
        <v>0</v>
      </c>
      <c r="N777" s="308"/>
      <c r="R777" s="591">
        <f>R778</f>
        <v>0</v>
      </c>
      <c r="S777" s="591">
        <f>S778</f>
        <v>0</v>
      </c>
      <c r="T777" s="309">
        <f t="shared" si="268"/>
        <v>0</v>
      </c>
      <c r="U777" s="498">
        <f>U778</f>
        <v>0</v>
      </c>
      <c r="V777" s="498">
        <f>V778</f>
        <v>0</v>
      </c>
      <c r="W777" s="310">
        <f t="shared" si="255"/>
        <v>0</v>
      </c>
      <c r="X777" s="310">
        <f t="shared" si="256"/>
        <v>0</v>
      </c>
    </row>
    <row r="778" spans="1:24" s="307" customFormat="1" ht="24.75" hidden="1" customHeight="1" x14ac:dyDescent="0.2">
      <c r="A778" s="451" t="s">
        <v>237</v>
      </c>
      <c r="B778" s="306" t="s">
        <v>7</v>
      </c>
      <c r="C778" s="354" t="s">
        <v>621</v>
      </c>
      <c r="D778" s="354" t="s">
        <v>606</v>
      </c>
      <c r="E778" s="450" t="s">
        <v>756</v>
      </c>
      <c r="F778" s="450"/>
      <c r="G778" s="498">
        <f t="shared" si="269"/>
        <v>0</v>
      </c>
      <c r="H778" s="498">
        <f t="shared" si="269"/>
        <v>0</v>
      </c>
      <c r="I778" s="591">
        <f t="shared" si="269"/>
        <v>0</v>
      </c>
      <c r="J778" s="591">
        <f t="shared" si="269"/>
        <v>0</v>
      </c>
      <c r="K778" s="591">
        <f t="shared" si="266"/>
        <v>0</v>
      </c>
      <c r="L778" s="591">
        <f t="shared" si="267"/>
        <v>0</v>
      </c>
      <c r="M778" s="217">
        <f t="shared" ref="M778:M851" si="270">I778-G778-K778</f>
        <v>0</v>
      </c>
      <c r="N778" s="308"/>
      <c r="R778" s="591">
        <f>R779</f>
        <v>0</v>
      </c>
      <c r="S778" s="591">
        <f>S779</f>
        <v>0</v>
      </c>
      <c r="T778" s="309">
        <f t="shared" si="268"/>
        <v>0</v>
      </c>
      <c r="U778" s="498">
        <f>U779</f>
        <v>0</v>
      </c>
      <c r="V778" s="498">
        <f>V779</f>
        <v>0</v>
      </c>
      <c r="W778" s="310">
        <f t="shared" si="255"/>
        <v>0</v>
      </c>
      <c r="X778" s="310">
        <f t="shared" si="256"/>
        <v>0</v>
      </c>
    </row>
    <row r="779" spans="1:24" ht="15.75" hidden="1" customHeight="1" x14ac:dyDescent="0.2">
      <c r="A779" s="124" t="s">
        <v>164</v>
      </c>
      <c r="B779" s="243" t="s">
        <v>7</v>
      </c>
      <c r="C779" s="353" t="s">
        <v>621</v>
      </c>
      <c r="D779" s="353" t="s">
        <v>606</v>
      </c>
      <c r="E779" s="369" t="s">
        <v>756</v>
      </c>
      <c r="F779" s="369" t="s">
        <v>132</v>
      </c>
      <c r="G779" s="288">
        <v>0</v>
      </c>
      <c r="H779" s="288"/>
      <c r="I779" s="288">
        <v>0</v>
      </c>
      <c r="J779" s="288"/>
      <c r="K779" s="43">
        <f t="shared" si="266"/>
        <v>0</v>
      </c>
      <c r="L779" s="43">
        <f t="shared" si="267"/>
        <v>0</v>
      </c>
      <c r="M779" s="217">
        <f t="shared" si="270"/>
        <v>0</v>
      </c>
      <c r="N779" s="171"/>
      <c r="R779" s="288">
        <v>0</v>
      </c>
      <c r="S779" s="288"/>
      <c r="T779" s="217">
        <f t="shared" si="268"/>
        <v>0</v>
      </c>
      <c r="U779" s="288">
        <v>0</v>
      </c>
      <c r="V779" s="288"/>
      <c r="W779" s="203">
        <f t="shared" si="255"/>
        <v>0</v>
      </c>
      <c r="X779" s="203">
        <f t="shared" si="256"/>
        <v>0</v>
      </c>
    </row>
    <row r="780" spans="1:24" s="307" customFormat="1" ht="51.75" hidden="1" customHeight="1" x14ac:dyDescent="0.2">
      <c r="A780" s="451" t="s">
        <v>813</v>
      </c>
      <c r="B780" s="306" t="s">
        <v>7</v>
      </c>
      <c r="C780" s="354" t="s">
        <v>621</v>
      </c>
      <c r="D780" s="354" t="s">
        <v>606</v>
      </c>
      <c r="E780" s="450" t="s">
        <v>677</v>
      </c>
      <c r="F780" s="450"/>
      <c r="G780" s="498">
        <f>G781+G783+G785</f>
        <v>0</v>
      </c>
      <c r="H780" s="498">
        <f>H781+H783+H785</f>
        <v>0</v>
      </c>
      <c r="I780" s="591">
        <f>I781+I783+I785</f>
        <v>0</v>
      </c>
      <c r="J780" s="591">
        <f>J781+J783+J785</f>
        <v>0</v>
      </c>
      <c r="K780" s="591">
        <f t="shared" si="266"/>
        <v>0</v>
      </c>
      <c r="L780" s="591">
        <f t="shared" si="267"/>
        <v>0</v>
      </c>
      <c r="M780" s="217">
        <f t="shared" si="270"/>
        <v>0</v>
      </c>
      <c r="N780" s="308"/>
      <c r="R780" s="591">
        <f>R781+R783+R785</f>
        <v>0</v>
      </c>
      <c r="S780" s="591">
        <f>S781+S783+S785</f>
        <v>0</v>
      </c>
      <c r="T780" s="309">
        <f t="shared" si="268"/>
        <v>0</v>
      </c>
      <c r="U780" s="498">
        <f>U781+U783+U785</f>
        <v>0</v>
      </c>
      <c r="V780" s="498">
        <f>V781+V783+V785</f>
        <v>0</v>
      </c>
      <c r="W780" s="310">
        <f t="shared" si="255"/>
        <v>0</v>
      </c>
      <c r="X780" s="310">
        <f t="shared" si="256"/>
        <v>0</v>
      </c>
    </row>
    <row r="781" spans="1:24" s="307" customFormat="1" ht="30" hidden="1" customHeight="1" x14ac:dyDescent="0.2">
      <c r="A781" s="451" t="s">
        <v>237</v>
      </c>
      <c r="B781" s="306" t="s">
        <v>7</v>
      </c>
      <c r="C781" s="354" t="s">
        <v>621</v>
      </c>
      <c r="D781" s="354" t="s">
        <v>606</v>
      </c>
      <c r="E781" s="450" t="s">
        <v>753</v>
      </c>
      <c r="F781" s="450"/>
      <c r="G781" s="498">
        <f>G782</f>
        <v>0</v>
      </c>
      <c r="H781" s="498">
        <f>H782</f>
        <v>0</v>
      </c>
      <c r="I781" s="591">
        <f>I782</f>
        <v>0</v>
      </c>
      <c r="J781" s="591">
        <f>J782</f>
        <v>0</v>
      </c>
      <c r="K781" s="591">
        <f t="shared" si="266"/>
        <v>0</v>
      </c>
      <c r="L781" s="591">
        <f t="shared" si="267"/>
        <v>0</v>
      </c>
      <c r="M781" s="217">
        <f t="shared" si="270"/>
        <v>0</v>
      </c>
      <c r="N781" s="308"/>
      <c r="R781" s="591">
        <f>R782</f>
        <v>0</v>
      </c>
      <c r="S781" s="591">
        <f>S782</f>
        <v>0</v>
      </c>
      <c r="T781" s="309">
        <f t="shared" si="268"/>
        <v>0</v>
      </c>
      <c r="U781" s="498">
        <f>U782</f>
        <v>0</v>
      </c>
      <c r="V781" s="498">
        <f>V782</f>
        <v>0</v>
      </c>
      <c r="W781" s="310">
        <f t="shared" si="255"/>
        <v>0</v>
      </c>
      <c r="X781" s="310">
        <f t="shared" si="256"/>
        <v>0</v>
      </c>
    </row>
    <row r="782" spans="1:24" ht="12" hidden="1" customHeight="1" x14ac:dyDescent="0.2">
      <c r="A782" s="124" t="s">
        <v>164</v>
      </c>
      <c r="B782" s="243" t="s">
        <v>7</v>
      </c>
      <c r="C782" s="353" t="s">
        <v>621</v>
      </c>
      <c r="D782" s="353" t="s">
        <v>606</v>
      </c>
      <c r="E782" s="369" t="s">
        <v>753</v>
      </c>
      <c r="F782" s="369" t="s">
        <v>132</v>
      </c>
      <c r="G782" s="288"/>
      <c r="H782" s="288"/>
      <c r="I782" s="288"/>
      <c r="J782" s="288"/>
      <c r="K782" s="43">
        <f t="shared" si="266"/>
        <v>0</v>
      </c>
      <c r="L782" s="43">
        <f t="shared" si="267"/>
        <v>0</v>
      </c>
      <c r="M782" s="217">
        <f t="shared" si="270"/>
        <v>0</v>
      </c>
      <c r="N782" s="171"/>
      <c r="O782" s="299"/>
      <c r="P782" s="299"/>
      <c r="Q782" s="299"/>
      <c r="R782" s="288"/>
      <c r="S782" s="288"/>
      <c r="T782" s="305">
        <f t="shared" si="268"/>
        <v>0</v>
      </c>
      <c r="U782" s="288"/>
      <c r="V782" s="288"/>
      <c r="W782" s="203">
        <f t="shared" si="255"/>
        <v>0</v>
      </c>
      <c r="X782" s="203">
        <f t="shared" si="256"/>
        <v>0</v>
      </c>
    </row>
    <row r="783" spans="1:24" s="307" customFormat="1" ht="27.75" hidden="1" customHeight="1" x14ac:dyDescent="0.2">
      <c r="A783" s="451" t="s">
        <v>237</v>
      </c>
      <c r="B783" s="306" t="s">
        <v>7</v>
      </c>
      <c r="C783" s="354" t="s">
        <v>621</v>
      </c>
      <c r="D783" s="354" t="s">
        <v>606</v>
      </c>
      <c r="E783" s="450" t="s">
        <v>754</v>
      </c>
      <c r="F783" s="450"/>
      <c r="G783" s="498">
        <f>G784</f>
        <v>0</v>
      </c>
      <c r="H783" s="498">
        <f>H784</f>
        <v>0</v>
      </c>
      <c r="I783" s="591">
        <f>I784</f>
        <v>0</v>
      </c>
      <c r="J783" s="591">
        <f>J784</f>
        <v>0</v>
      </c>
      <c r="K783" s="591">
        <f t="shared" si="266"/>
        <v>0</v>
      </c>
      <c r="L783" s="591">
        <f t="shared" si="267"/>
        <v>0</v>
      </c>
      <c r="M783" s="217">
        <f t="shared" si="270"/>
        <v>0</v>
      </c>
      <c r="N783" s="308"/>
      <c r="R783" s="591">
        <f>R784</f>
        <v>0</v>
      </c>
      <c r="S783" s="591">
        <f>S784</f>
        <v>0</v>
      </c>
      <c r="T783" s="309">
        <f t="shared" si="268"/>
        <v>0</v>
      </c>
      <c r="U783" s="498">
        <f>U784</f>
        <v>0</v>
      </c>
      <c r="V783" s="498">
        <f>V784</f>
        <v>0</v>
      </c>
      <c r="W783" s="310">
        <f t="shared" si="255"/>
        <v>0</v>
      </c>
      <c r="X783" s="310">
        <f t="shared" si="256"/>
        <v>0</v>
      </c>
    </row>
    <row r="784" spans="1:24" ht="12" hidden="1" customHeight="1" x14ac:dyDescent="0.2">
      <c r="A784" s="124" t="s">
        <v>164</v>
      </c>
      <c r="B784" s="243" t="s">
        <v>7</v>
      </c>
      <c r="C784" s="353" t="s">
        <v>621</v>
      </c>
      <c r="D784" s="353" t="s">
        <v>606</v>
      </c>
      <c r="E784" s="369" t="s">
        <v>754</v>
      </c>
      <c r="F784" s="369" t="s">
        <v>132</v>
      </c>
      <c r="G784" s="288">
        <v>0</v>
      </c>
      <c r="H784" s="288"/>
      <c r="I784" s="288">
        <v>0</v>
      </c>
      <c r="J784" s="288"/>
      <c r="K784" s="43">
        <f t="shared" si="266"/>
        <v>0</v>
      </c>
      <c r="L784" s="43">
        <f t="shared" si="267"/>
        <v>0</v>
      </c>
      <c r="M784" s="217">
        <f t="shared" si="270"/>
        <v>0</v>
      </c>
      <c r="N784" s="171"/>
      <c r="R784" s="288">
        <v>0</v>
      </c>
      <c r="S784" s="288"/>
      <c r="T784" s="217">
        <f t="shared" si="268"/>
        <v>0</v>
      </c>
      <c r="U784" s="288">
        <v>0</v>
      </c>
      <c r="V784" s="288"/>
      <c r="W784" s="203">
        <f t="shared" si="255"/>
        <v>0</v>
      </c>
      <c r="X784" s="203">
        <f t="shared" si="256"/>
        <v>0</v>
      </c>
    </row>
    <row r="785" spans="1:24" s="307" customFormat="1" ht="25.5" hidden="1" customHeight="1" x14ac:dyDescent="0.2">
      <c r="A785" s="451" t="s">
        <v>680</v>
      </c>
      <c r="B785" s="306" t="s">
        <v>7</v>
      </c>
      <c r="C785" s="354" t="s">
        <v>621</v>
      </c>
      <c r="D785" s="354" t="s">
        <v>606</v>
      </c>
      <c r="E785" s="450" t="s">
        <v>755</v>
      </c>
      <c r="F785" s="450"/>
      <c r="G785" s="498">
        <f>G786</f>
        <v>0</v>
      </c>
      <c r="H785" s="498">
        <f>H786</f>
        <v>0</v>
      </c>
      <c r="I785" s="591">
        <f>I786</f>
        <v>0</v>
      </c>
      <c r="J785" s="591">
        <f>J786</f>
        <v>0</v>
      </c>
      <c r="K785" s="591">
        <f t="shared" si="266"/>
        <v>0</v>
      </c>
      <c r="L785" s="591">
        <f t="shared" si="267"/>
        <v>0</v>
      </c>
      <c r="M785" s="217">
        <f t="shared" si="270"/>
        <v>0</v>
      </c>
      <c r="N785" s="308"/>
      <c r="R785" s="591">
        <f>R786</f>
        <v>0</v>
      </c>
      <c r="S785" s="591">
        <f>S786</f>
        <v>0</v>
      </c>
      <c r="T785" s="309">
        <f t="shared" si="268"/>
        <v>0</v>
      </c>
      <c r="U785" s="498">
        <f>U786</f>
        <v>0</v>
      </c>
      <c r="V785" s="498">
        <f>V786</f>
        <v>0</v>
      </c>
      <c r="W785" s="310">
        <f t="shared" si="255"/>
        <v>0</v>
      </c>
      <c r="X785" s="310">
        <f t="shared" si="256"/>
        <v>0</v>
      </c>
    </row>
    <row r="786" spans="1:24" ht="12" hidden="1" customHeight="1" x14ac:dyDescent="0.2">
      <c r="A786" s="124" t="s">
        <v>164</v>
      </c>
      <c r="B786" s="243" t="s">
        <v>7</v>
      </c>
      <c r="C786" s="353" t="s">
        <v>621</v>
      </c>
      <c r="D786" s="353" t="s">
        <v>606</v>
      </c>
      <c r="E786" s="369" t="s">
        <v>755</v>
      </c>
      <c r="F786" s="369" t="s">
        <v>132</v>
      </c>
      <c r="G786" s="288">
        <v>0</v>
      </c>
      <c r="H786" s="288"/>
      <c r="I786" s="288">
        <v>0</v>
      </c>
      <c r="J786" s="288"/>
      <c r="K786" s="43">
        <f t="shared" si="266"/>
        <v>0</v>
      </c>
      <c r="L786" s="43">
        <f t="shared" si="267"/>
        <v>0</v>
      </c>
      <c r="M786" s="217">
        <f t="shared" si="270"/>
        <v>0</v>
      </c>
      <c r="N786" s="171"/>
      <c r="R786" s="288">
        <v>0</v>
      </c>
      <c r="S786" s="288"/>
      <c r="T786" s="217">
        <f t="shared" si="268"/>
        <v>0</v>
      </c>
      <c r="U786" s="288">
        <v>0</v>
      </c>
      <c r="V786" s="288"/>
      <c r="W786" s="203">
        <f t="shared" si="255"/>
        <v>0</v>
      </c>
      <c r="X786" s="203">
        <f t="shared" si="256"/>
        <v>0</v>
      </c>
    </row>
    <row r="787" spans="1:24" ht="12" hidden="1" customHeight="1" x14ac:dyDescent="0.2">
      <c r="A787" s="121" t="s">
        <v>1205</v>
      </c>
      <c r="B787" s="306" t="s">
        <v>7</v>
      </c>
      <c r="C787" s="354" t="s">
        <v>621</v>
      </c>
      <c r="D787" s="354" t="s">
        <v>606</v>
      </c>
      <c r="E787" s="377">
        <v>8900000000</v>
      </c>
      <c r="F787" s="450"/>
      <c r="G787" s="498">
        <f t="shared" ref="G787:J789" si="271">G788</f>
        <v>0</v>
      </c>
      <c r="H787" s="498">
        <f t="shared" si="271"/>
        <v>0</v>
      </c>
      <c r="I787" s="591">
        <f t="shared" si="271"/>
        <v>0</v>
      </c>
      <c r="J787" s="591">
        <f t="shared" si="271"/>
        <v>0</v>
      </c>
      <c r="K787" s="591">
        <f t="shared" si="266"/>
        <v>0</v>
      </c>
      <c r="L787" s="591">
        <f t="shared" si="267"/>
        <v>0</v>
      </c>
      <c r="M787" s="217">
        <f t="shared" si="270"/>
        <v>0</v>
      </c>
      <c r="N787" s="171"/>
      <c r="R787" s="591">
        <f t="shared" ref="R787:S789" si="272">R788</f>
        <v>0</v>
      </c>
      <c r="S787" s="591">
        <f t="shared" si="272"/>
        <v>0</v>
      </c>
      <c r="T787" s="217"/>
      <c r="U787" s="498">
        <f t="shared" ref="U787:V789" si="273">U788</f>
        <v>12809.433000000001</v>
      </c>
      <c r="V787" s="498">
        <f t="shared" si="273"/>
        <v>12427.7119</v>
      </c>
      <c r="W787" s="203"/>
      <c r="X787" s="203"/>
    </row>
    <row r="788" spans="1:24" ht="12" hidden="1" customHeight="1" x14ac:dyDescent="0.2">
      <c r="A788" s="121" t="s">
        <v>1284</v>
      </c>
      <c r="B788" s="306" t="s">
        <v>7</v>
      </c>
      <c r="C788" s="354" t="s">
        <v>621</v>
      </c>
      <c r="D788" s="354" t="s">
        <v>606</v>
      </c>
      <c r="E788" s="377">
        <v>8900500000</v>
      </c>
      <c r="F788" s="450"/>
      <c r="G788" s="498">
        <f t="shared" si="271"/>
        <v>0</v>
      </c>
      <c r="H788" s="498">
        <f t="shared" si="271"/>
        <v>0</v>
      </c>
      <c r="I788" s="591">
        <f t="shared" si="271"/>
        <v>0</v>
      </c>
      <c r="J788" s="591">
        <f t="shared" si="271"/>
        <v>0</v>
      </c>
      <c r="K788" s="591">
        <f t="shared" si="266"/>
        <v>0</v>
      </c>
      <c r="L788" s="591">
        <f t="shared" si="267"/>
        <v>0</v>
      </c>
      <c r="M788" s="217">
        <f t="shared" si="270"/>
        <v>0</v>
      </c>
      <c r="N788" s="171"/>
      <c r="R788" s="591">
        <f t="shared" si="272"/>
        <v>0</v>
      </c>
      <c r="S788" s="591">
        <f t="shared" si="272"/>
        <v>0</v>
      </c>
      <c r="T788" s="217"/>
      <c r="U788" s="498">
        <f t="shared" si="273"/>
        <v>12809.433000000001</v>
      </c>
      <c r="V788" s="498">
        <f t="shared" si="273"/>
        <v>12427.7119</v>
      </c>
      <c r="W788" s="203"/>
      <c r="X788" s="203"/>
    </row>
    <row r="789" spans="1:24" ht="12" hidden="1" customHeight="1" x14ac:dyDescent="0.2">
      <c r="A789" s="121" t="s">
        <v>1285</v>
      </c>
      <c r="B789" s="306" t="s">
        <v>7</v>
      </c>
      <c r="C789" s="354" t="s">
        <v>621</v>
      </c>
      <c r="D789" s="354" t="s">
        <v>606</v>
      </c>
      <c r="E789" s="377" t="s">
        <v>1286</v>
      </c>
      <c r="F789" s="450"/>
      <c r="G789" s="498">
        <f t="shared" si="271"/>
        <v>0</v>
      </c>
      <c r="H789" s="498">
        <f t="shared" si="271"/>
        <v>0</v>
      </c>
      <c r="I789" s="591">
        <f t="shared" si="271"/>
        <v>0</v>
      </c>
      <c r="J789" s="591">
        <f t="shared" si="271"/>
        <v>0</v>
      </c>
      <c r="K789" s="591">
        <f t="shared" si="266"/>
        <v>0</v>
      </c>
      <c r="L789" s="591">
        <f t="shared" si="267"/>
        <v>0</v>
      </c>
      <c r="M789" s="217">
        <f t="shared" si="270"/>
        <v>0</v>
      </c>
      <c r="N789" s="171"/>
      <c r="R789" s="591">
        <f t="shared" si="272"/>
        <v>0</v>
      </c>
      <c r="S789" s="591">
        <f t="shared" si="272"/>
        <v>0</v>
      </c>
      <c r="T789" s="217"/>
      <c r="U789" s="498">
        <f t="shared" si="273"/>
        <v>12809.433000000001</v>
      </c>
      <c r="V789" s="498">
        <f t="shared" si="273"/>
        <v>12427.7119</v>
      </c>
      <c r="W789" s="203"/>
      <c r="X789" s="203"/>
    </row>
    <row r="790" spans="1:24" ht="12" hidden="1" customHeight="1" x14ac:dyDescent="0.2">
      <c r="A790" s="124" t="s">
        <v>164</v>
      </c>
      <c r="B790" s="243" t="s">
        <v>7</v>
      </c>
      <c r="C790" s="353" t="s">
        <v>621</v>
      </c>
      <c r="D790" s="353" t="s">
        <v>606</v>
      </c>
      <c r="E790" s="378" t="s">
        <v>1286</v>
      </c>
      <c r="F790" s="369" t="s">
        <v>132</v>
      </c>
      <c r="G790" s="288"/>
      <c r="H790" s="266"/>
      <c r="I790" s="288"/>
      <c r="J790" s="266"/>
      <c r="K790" s="43">
        <f t="shared" si="266"/>
        <v>0</v>
      </c>
      <c r="L790" s="43">
        <f t="shared" si="267"/>
        <v>0</v>
      </c>
      <c r="M790" s="217">
        <f t="shared" si="270"/>
        <v>0</v>
      </c>
      <c r="N790" s="171"/>
      <c r="R790" s="288"/>
      <c r="S790" s="266"/>
      <c r="T790" s="217"/>
      <c r="U790" s="288">
        <v>12809.433000000001</v>
      </c>
      <c r="V790" s="266">
        <v>12427.7119</v>
      </c>
      <c r="W790" s="203"/>
      <c r="X790" s="203"/>
    </row>
    <row r="791" spans="1:24" s="307" customFormat="1" ht="15" hidden="1" customHeight="1" x14ac:dyDescent="0.2">
      <c r="A791" s="451" t="s">
        <v>65</v>
      </c>
      <c r="B791" s="306" t="s">
        <v>7</v>
      </c>
      <c r="C791" s="354" t="s">
        <v>621</v>
      </c>
      <c r="D791" s="354" t="s">
        <v>606</v>
      </c>
      <c r="E791" s="450" t="s">
        <v>312</v>
      </c>
      <c r="F791" s="450"/>
      <c r="G791" s="498">
        <f>G792+G797+G799+G801</f>
        <v>0</v>
      </c>
      <c r="H791" s="498">
        <f>H792+H797+H799+H801</f>
        <v>0</v>
      </c>
      <c r="I791" s="591">
        <f>I792+I797+I799+I801</f>
        <v>0</v>
      </c>
      <c r="J791" s="591">
        <f>J792+J797+J799+J801</f>
        <v>0</v>
      </c>
      <c r="K791" s="591">
        <f t="shared" si="266"/>
        <v>0</v>
      </c>
      <c r="L791" s="591">
        <f t="shared" si="267"/>
        <v>0</v>
      </c>
      <c r="M791" s="217">
        <f t="shared" si="270"/>
        <v>0</v>
      </c>
      <c r="N791" s="292"/>
      <c r="O791" s="292"/>
      <c r="P791" s="292"/>
      <c r="Q791" s="292"/>
      <c r="R791" s="591">
        <f>R792+R797+R799+R801</f>
        <v>0</v>
      </c>
      <c r="S791" s="591">
        <f>S792+S797+S799+S801</f>
        <v>0</v>
      </c>
      <c r="T791" s="292">
        <f>T792+T797+T799+T801</f>
        <v>0</v>
      </c>
      <c r="U791" s="498">
        <f>U792+U797+U799+U801</f>
        <v>22.102830000000001</v>
      </c>
      <c r="V791" s="498">
        <f>V792+V797+V799+V801</f>
        <v>0</v>
      </c>
      <c r="W791" s="310">
        <f t="shared" si="255"/>
        <v>0</v>
      </c>
      <c r="X791" s="310">
        <f t="shared" si="256"/>
        <v>0</v>
      </c>
    </row>
    <row r="792" spans="1:24" s="307" customFormat="1" ht="27.75" hidden="1" customHeight="1" x14ac:dyDescent="0.2">
      <c r="A792" s="451" t="s">
        <v>562</v>
      </c>
      <c r="B792" s="306" t="s">
        <v>7</v>
      </c>
      <c r="C792" s="354" t="s">
        <v>621</v>
      </c>
      <c r="D792" s="354" t="s">
        <v>606</v>
      </c>
      <c r="E792" s="450" t="s">
        <v>563</v>
      </c>
      <c r="F792" s="450"/>
      <c r="G792" s="498">
        <f>G793</f>
        <v>0</v>
      </c>
      <c r="H792" s="498">
        <f>H793</f>
        <v>0</v>
      </c>
      <c r="I792" s="591">
        <f>I793</f>
        <v>0</v>
      </c>
      <c r="J792" s="591">
        <f>J793</f>
        <v>0</v>
      </c>
      <c r="K792" s="591">
        <f t="shared" si="266"/>
        <v>0</v>
      </c>
      <c r="L792" s="591">
        <f t="shared" si="267"/>
        <v>0</v>
      </c>
      <c r="M792" s="217">
        <f t="shared" si="270"/>
        <v>0</v>
      </c>
      <c r="N792" s="292">
        <f>N793</f>
        <v>50</v>
      </c>
      <c r="R792" s="591">
        <f>R793</f>
        <v>0</v>
      </c>
      <c r="S792" s="591">
        <f>S793</f>
        <v>0</v>
      </c>
      <c r="T792" s="309">
        <f t="shared" ref="T792:T798" si="274">I792-G792</f>
        <v>0</v>
      </c>
      <c r="U792" s="498">
        <f>U793</f>
        <v>0</v>
      </c>
      <c r="V792" s="498">
        <f>V793</f>
        <v>0</v>
      </c>
      <c r="W792" s="310">
        <f t="shared" si="255"/>
        <v>0</v>
      </c>
      <c r="X792" s="310">
        <f t="shared" si="256"/>
        <v>0</v>
      </c>
    </row>
    <row r="793" spans="1:24" ht="18.75" hidden="1" customHeight="1" x14ac:dyDescent="0.2">
      <c r="A793" s="124" t="s">
        <v>164</v>
      </c>
      <c r="B793" s="243" t="s">
        <v>7</v>
      </c>
      <c r="C793" s="353" t="s">
        <v>621</v>
      </c>
      <c r="D793" s="353" t="s">
        <v>606</v>
      </c>
      <c r="E793" s="369" t="s">
        <v>563</v>
      </c>
      <c r="F793" s="369" t="s">
        <v>132</v>
      </c>
      <c r="G793" s="288"/>
      <c r="H793" s="288"/>
      <c r="I793" s="288"/>
      <c r="J793" s="288"/>
      <c r="K793" s="43">
        <f t="shared" si="266"/>
        <v>0</v>
      </c>
      <c r="L793" s="43">
        <f t="shared" si="267"/>
        <v>0</v>
      </c>
      <c r="M793" s="217">
        <f t="shared" si="270"/>
        <v>0</v>
      </c>
      <c r="N793" s="43">
        <v>50</v>
      </c>
      <c r="R793" s="288"/>
      <c r="S793" s="288"/>
      <c r="T793" s="217">
        <f t="shared" si="274"/>
        <v>0</v>
      </c>
      <c r="U793" s="288"/>
      <c r="V793" s="288"/>
      <c r="W793" s="203">
        <f t="shared" si="255"/>
        <v>0</v>
      </c>
      <c r="X793" s="203">
        <f t="shared" si="256"/>
        <v>0</v>
      </c>
    </row>
    <row r="794" spans="1:24" s="307" customFormat="1" ht="12" hidden="1" customHeight="1" x14ac:dyDescent="0.2">
      <c r="A794" s="451" t="s">
        <v>65</v>
      </c>
      <c r="B794" s="306" t="s">
        <v>7</v>
      </c>
      <c r="C794" s="354" t="s">
        <v>621</v>
      </c>
      <c r="D794" s="354" t="s">
        <v>606</v>
      </c>
      <c r="E794" s="450" t="s">
        <v>64</v>
      </c>
      <c r="F794" s="450"/>
      <c r="G794" s="498">
        <f t="shared" ref="G794:J795" si="275">G795</f>
        <v>0</v>
      </c>
      <c r="H794" s="498">
        <f t="shared" si="275"/>
        <v>0</v>
      </c>
      <c r="I794" s="591">
        <f t="shared" si="275"/>
        <v>0</v>
      </c>
      <c r="J794" s="591">
        <f t="shared" si="275"/>
        <v>0</v>
      </c>
      <c r="K794" s="591">
        <f t="shared" si="266"/>
        <v>0</v>
      </c>
      <c r="L794" s="591">
        <f t="shared" si="267"/>
        <v>0</v>
      </c>
      <c r="M794" s="217">
        <f t="shared" si="270"/>
        <v>0</v>
      </c>
      <c r="N794" s="292">
        <f>N795</f>
        <v>0</v>
      </c>
      <c r="R794" s="591">
        <f>R795</f>
        <v>0</v>
      </c>
      <c r="S794" s="591">
        <f>S795</f>
        <v>0</v>
      </c>
      <c r="T794" s="309">
        <f t="shared" si="274"/>
        <v>0</v>
      </c>
      <c r="U794" s="498">
        <f>U795</f>
        <v>0</v>
      </c>
      <c r="V794" s="498">
        <f>V795</f>
        <v>0</v>
      </c>
      <c r="W794" s="310">
        <f t="shared" si="255"/>
        <v>0</v>
      </c>
      <c r="X794" s="310">
        <f t="shared" si="256"/>
        <v>0</v>
      </c>
    </row>
    <row r="795" spans="1:24" s="307" customFormat="1" ht="26.25" hidden="1" customHeight="1" x14ac:dyDescent="0.2">
      <c r="A795" s="451" t="s">
        <v>60</v>
      </c>
      <c r="B795" s="306" t="s">
        <v>7</v>
      </c>
      <c r="C795" s="354" t="s">
        <v>621</v>
      </c>
      <c r="D795" s="354" t="s">
        <v>606</v>
      </c>
      <c r="E795" s="450" t="s">
        <v>59</v>
      </c>
      <c r="F795" s="450"/>
      <c r="G795" s="498">
        <f t="shared" si="275"/>
        <v>0</v>
      </c>
      <c r="H795" s="498">
        <f t="shared" si="275"/>
        <v>0</v>
      </c>
      <c r="I795" s="591">
        <f t="shared" si="275"/>
        <v>0</v>
      </c>
      <c r="J795" s="591">
        <f t="shared" si="275"/>
        <v>0</v>
      </c>
      <c r="K795" s="591">
        <f t="shared" si="266"/>
        <v>0</v>
      </c>
      <c r="L795" s="591">
        <f t="shared" si="267"/>
        <v>0</v>
      </c>
      <c r="M795" s="217">
        <f t="shared" si="270"/>
        <v>0</v>
      </c>
      <c r="N795" s="292">
        <f>N796</f>
        <v>0</v>
      </c>
      <c r="R795" s="591">
        <f>R796</f>
        <v>0</v>
      </c>
      <c r="S795" s="591">
        <f>S796</f>
        <v>0</v>
      </c>
      <c r="T795" s="309">
        <f t="shared" si="274"/>
        <v>0</v>
      </c>
      <c r="U795" s="498">
        <f>U796</f>
        <v>0</v>
      </c>
      <c r="V795" s="498">
        <f>V796</f>
        <v>0</v>
      </c>
      <c r="W795" s="310">
        <f t="shared" si="255"/>
        <v>0</v>
      </c>
      <c r="X795" s="310">
        <f t="shared" si="256"/>
        <v>0</v>
      </c>
    </row>
    <row r="796" spans="1:24" ht="12" hidden="1" customHeight="1" x14ac:dyDescent="0.2">
      <c r="A796" s="124" t="s">
        <v>164</v>
      </c>
      <c r="B796" s="243" t="s">
        <v>7</v>
      </c>
      <c r="C796" s="353" t="s">
        <v>621</v>
      </c>
      <c r="D796" s="353" t="s">
        <v>606</v>
      </c>
      <c r="E796" s="369" t="s">
        <v>59</v>
      </c>
      <c r="F796" s="369" t="s">
        <v>132</v>
      </c>
      <c r="G796" s="288"/>
      <c r="H796" s="288"/>
      <c r="I796" s="288"/>
      <c r="J796" s="288"/>
      <c r="K796" s="43">
        <f t="shared" si="266"/>
        <v>0</v>
      </c>
      <c r="L796" s="43">
        <f t="shared" si="267"/>
        <v>0</v>
      </c>
      <c r="M796" s="217">
        <f t="shared" si="270"/>
        <v>0</v>
      </c>
      <c r="N796" s="43"/>
      <c r="R796" s="288"/>
      <c r="S796" s="288"/>
      <c r="T796" s="217">
        <f t="shared" si="274"/>
        <v>0</v>
      </c>
      <c r="U796" s="288"/>
      <c r="V796" s="288"/>
      <c r="W796" s="203">
        <f t="shared" si="255"/>
        <v>0</v>
      </c>
      <c r="X796" s="203">
        <f t="shared" si="256"/>
        <v>0</v>
      </c>
    </row>
    <row r="797" spans="1:24" s="307" customFormat="1" ht="64.5" hidden="1" customHeight="1" x14ac:dyDescent="0.2">
      <c r="A797" s="501" t="s">
        <v>934</v>
      </c>
      <c r="B797" s="306" t="s">
        <v>7</v>
      </c>
      <c r="C797" s="354" t="s">
        <v>621</v>
      </c>
      <c r="D797" s="354" t="s">
        <v>606</v>
      </c>
      <c r="E797" s="450" t="s">
        <v>328</v>
      </c>
      <c r="F797" s="450"/>
      <c r="G797" s="498">
        <f>G798</f>
        <v>0</v>
      </c>
      <c r="H797" s="498">
        <f>H798</f>
        <v>0</v>
      </c>
      <c r="I797" s="591">
        <f>I798</f>
        <v>0</v>
      </c>
      <c r="J797" s="591">
        <f>J798</f>
        <v>0</v>
      </c>
      <c r="K797" s="591">
        <f t="shared" si="266"/>
        <v>0</v>
      </c>
      <c r="L797" s="591">
        <f t="shared" si="267"/>
        <v>0</v>
      </c>
      <c r="M797" s="217">
        <f t="shared" si="270"/>
        <v>0</v>
      </c>
      <c r="N797" s="292">
        <f>N798</f>
        <v>160.929</v>
      </c>
      <c r="R797" s="591">
        <f>R798</f>
        <v>0</v>
      </c>
      <c r="S797" s="591">
        <f>S798</f>
        <v>0</v>
      </c>
      <c r="T797" s="309">
        <f t="shared" si="274"/>
        <v>0</v>
      </c>
      <c r="U797" s="498">
        <f>U798</f>
        <v>22.102830000000001</v>
      </c>
      <c r="V797" s="498">
        <f>V798</f>
        <v>0</v>
      </c>
      <c r="W797" s="310">
        <f t="shared" si="255"/>
        <v>0</v>
      </c>
      <c r="X797" s="310">
        <f t="shared" si="256"/>
        <v>0</v>
      </c>
    </row>
    <row r="798" spans="1:24" ht="12" hidden="1" customHeight="1" x14ac:dyDescent="0.2">
      <c r="A798" s="124" t="s">
        <v>164</v>
      </c>
      <c r="B798" s="243" t="s">
        <v>7</v>
      </c>
      <c r="C798" s="353" t="s">
        <v>621</v>
      </c>
      <c r="D798" s="353" t="s">
        <v>606</v>
      </c>
      <c r="E798" s="369" t="s">
        <v>328</v>
      </c>
      <c r="F798" s="369" t="s">
        <v>132</v>
      </c>
      <c r="G798" s="288"/>
      <c r="H798" s="288"/>
      <c r="I798" s="288"/>
      <c r="J798" s="288"/>
      <c r="K798" s="43">
        <f t="shared" si="266"/>
        <v>0</v>
      </c>
      <c r="L798" s="43">
        <f t="shared" si="267"/>
        <v>0</v>
      </c>
      <c r="M798" s="217">
        <f t="shared" si="270"/>
        <v>0</v>
      </c>
      <c r="N798" s="43">
        <v>160.929</v>
      </c>
      <c r="R798" s="288"/>
      <c r="S798" s="288"/>
      <c r="T798" s="217">
        <f t="shared" si="274"/>
        <v>0</v>
      </c>
      <c r="U798" s="288">
        <v>22.102830000000001</v>
      </c>
      <c r="V798" s="288">
        <v>0</v>
      </c>
      <c r="W798" s="203">
        <f t="shared" si="255"/>
        <v>0</v>
      </c>
      <c r="X798" s="203">
        <f t="shared" si="256"/>
        <v>0</v>
      </c>
    </row>
    <row r="799" spans="1:24" s="307" customFormat="1" ht="22.5" hidden="1" customHeight="1" x14ac:dyDescent="0.2">
      <c r="A799" s="451" t="s">
        <v>851</v>
      </c>
      <c r="B799" s="306" t="s">
        <v>7</v>
      </c>
      <c r="C799" s="354" t="s">
        <v>621</v>
      </c>
      <c r="D799" s="354" t="s">
        <v>606</v>
      </c>
      <c r="E799" s="450" t="s">
        <v>850</v>
      </c>
      <c r="F799" s="450"/>
      <c r="G799" s="498">
        <f>G800</f>
        <v>0</v>
      </c>
      <c r="H799" s="498">
        <f>H800</f>
        <v>0</v>
      </c>
      <c r="I799" s="591">
        <f>I800</f>
        <v>0</v>
      </c>
      <c r="J799" s="591">
        <f>J800</f>
        <v>0</v>
      </c>
      <c r="K799" s="591">
        <f t="shared" si="266"/>
        <v>0</v>
      </c>
      <c r="L799" s="591">
        <f t="shared" si="267"/>
        <v>0</v>
      </c>
      <c r="M799" s="217">
        <f t="shared" si="270"/>
        <v>0</v>
      </c>
      <c r="N799" s="292"/>
      <c r="R799" s="591">
        <f>R800</f>
        <v>0</v>
      </c>
      <c r="S799" s="591">
        <f>S800</f>
        <v>0</v>
      </c>
      <c r="T799" s="309"/>
      <c r="U799" s="498">
        <f>U800</f>
        <v>0</v>
      </c>
      <c r="V799" s="498">
        <f>V800</f>
        <v>0</v>
      </c>
      <c r="W799" s="310">
        <f t="shared" si="255"/>
        <v>0</v>
      </c>
      <c r="X799" s="310">
        <f t="shared" si="256"/>
        <v>0</v>
      </c>
    </row>
    <row r="800" spans="1:24" ht="12" hidden="1" customHeight="1" x14ac:dyDescent="0.2">
      <c r="A800" s="124" t="s">
        <v>164</v>
      </c>
      <c r="B800" s="243" t="s">
        <v>7</v>
      </c>
      <c r="C800" s="353" t="s">
        <v>621</v>
      </c>
      <c r="D800" s="353" t="s">
        <v>606</v>
      </c>
      <c r="E800" s="369" t="s">
        <v>850</v>
      </c>
      <c r="F800" s="369" t="s">
        <v>132</v>
      </c>
      <c r="G800" s="288"/>
      <c r="H800" s="288"/>
      <c r="I800" s="288"/>
      <c r="J800" s="288"/>
      <c r="K800" s="43">
        <f t="shared" si="266"/>
        <v>0</v>
      </c>
      <c r="L800" s="43">
        <f t="shared" si="267"/>
        <v>0</v>
      </c>
      <c r="M800" s="217">
        <f t="shared" si="270"/>
        <v>0</v>
      </c>
      <c r="N800" s="43"/>
      <c r="R800" s="288"/>
      <c r="S800" s="288"/>
      <c r="T800" s="217"/>
      <c r="U800" s="288"/>
      <c r="V800" s="288"/>
      <c r="W800" s="203">
        <f t="shared" si="255"/>
        <v>0</v>
      </c>
      <c r="X800" s="203">
        <f t="shared" si="256"/>
        <v>0</v>
      </c>
    </row>
    <row r="801" spans="1:24" s="317" customFormat="1" ht="13.5" hidden="1" customHeight="1" x14ac:dyDescent="0.2">
      <c r="A801" s="451" t="s">
        <v>294</v>
      </c>
      <c r="B801" s="306" t="s">
        <v>7</v>
      </c>
      <c r="C801" s="354" t="s">
        <v>621</v>
      </c>
      <c r="D801" s="354" t="s">
        <v>606</v>
      </c>
      <c r="E801" s="450" t="s">
        <v>692</v>
      </c>
      <c r="F801" s="450"/>
      <c r="G801" s="498">
        <f>G802</f>
        <v>0</v>
      </c>
      <c r="H801" s="498">
        <f>H802</f>
        <v>0</v>
      </c>
      <c r="I801" s="591">
        <f>I802</f>
        <v>0</v>
      </c>
      <c r="J801" s="591">
        <f>J802</f>
        <v>0</v>
      </c>
      <c r="K801" s="591">
        <f t="shared" si="266"/>
        <v>0</v>
      </c>
      <c r="L801" s="591">
        <f t="shared" si="267"/>
        <v>0</v>
      </c>
      <c r="M801" s="217">
        <f t="shared" si="270"/>
        <v>0</v>
      </c>
      <c r="N801" s="318"/>
      <c r="R801" s="591">
        <f>R802</f>
        <v>0</v>
      </c>
      <c r="S801" s="591">
        <f>S802</f>
        <v>0</v>
      </c>
      <c r="T801" s="319"/>
      <c r="U801" s="498">
        <f>U802</f>
        <v>0</v>
      </c>
      <c r="V801" s="498">
        <f>V802</f>
        <v>0</v>
      </c>
      <c r="W801" s="310">
        <f t="shared" si="255"/>
        <v>0</v>
      </c>
      <c r="X801" s="310">
        <f t="shared" si="256"/>
        <v>0</v>
      </c>
    </row>
    <row r="802" spans="1:24" s="283" customFormat="1" ht="12" hidden="1" customHeight="1" x14ac:dyDescent="0.2">
      <c r="A802" s="124" t="s">
        <v>164</v>
      </c>
      <c r="B802" s="243" t="s">
        <v>7</v>
      </c>
      <c r="C802" s="353" t="s">
        <v>621</v>
      </c>
      <c r="D802" s="353" t="s">
        <v>606</v>
      </c>
      <c r="E802" s="369" t="s">
        <v>692</v>
      </c>
      <c r="F802" s="369" t="s">
        <v>132</v>
      </c>
      <c r="G802" s="288"/>
      <c r="H802" s="288">
        <v>0</v>
      </c>
      <c r="I802" s="288"/>
      <c r="J802" s="288">
        <v>0</v>
      </c>
      <c r="K802" s="43">
        <f t="shared" si="266"/>
        <v>0</v>
      </c>
      <c r="L802" s="43">
        <f t="shared" si="267"/>
        <v>0</v>
      </c>
      <c r="M802" s="217">
        <f t="shared" si="270"/>
        <v>0</v>
      </c>
      <c r="N802" s="255"/>
      <c r="R802" s="288"/>
      <c r="S802" s="288">
        <v>0</v>
      </c>
      <c r="T802" s="284"/>
      <c r="U802" s="288">
        <v>0</v>
      </c>
      <c r="V802" s="288">
        <v>0</v>
      </c>
      <c r="W802" s="203">
        <f t="shared" si="255"/>
        <v>0</v>
      </c>
      <c r="X802" s="203">
        <f t="shared" si="256"/>
        <v>0</v>
      </c>
    </row>
    <row r="803" spans="1:24" s="321" customFormat="1" ht="15.75" x14ac:dyDescent="0.25">
      <c r="A803" s="743" t="s">
        <v>641</v>
      </c>
      <c r="B803" s="66" t="s">
        <v>180</v>
      </c>
      <c r="C803" s="346"/>
      <c r="D803" s="346"/>
      <c r="E803" s="373"/>
      <c r="F803" s="373"/>
      <c r="G803" s="126">
        <f>G804+G1220</f>
        <v>1041770.9879999999</v>
      </c>
      <c r="H803" s="126">
        <f>H804+H1220</f>
        <v>128057.68699999999</v>
      </c>
      <c r="I803" s="126">
        <f>I804+I1220</f>
        <v>1150938.48838</v>
      </c>
      <c r="J803" s="126">
        <f>J804+J1220</f>
        <v>150813.587</v>
      </c>
      <c r="K803" s="126">
        <f t="shared" si="266"/>
        <v>109167.5003800001</v>
      </c>
      <c r="L803" s="126">
        <f t="shared" si="267"/>
        <v>22755.900000000009</v>
      </c>
      <c r="M803" s="217">
        <f t="shared" si="270"/>
        <v>0</v>
      </c>
      <c r="N803" s="322" t="e">
        <f>N804+N1220</f>
        <v>#REF!</v>
      </c>
      <c r="P803" s="321">
        <v>8928</v>
      </c>
      <c r="R803" s="126" t="e">
        <f>R804+R1220</f>
        <v>#REF!</v>
      </c>
      <c r="S803" s="126" t="e">
        <f>S804+S1220</f>
        <v>#REF!</v>
      </c>
      <c r="T803" s="309">
        <f t="shared" ref="T803:T814" si="276">I803-G803</f>
        <v>109167.5003800001</v>
      </c>
      <c r="U803" s="126" t="e">
        <f>U804+U1220</f>
        <v>#REF!</v>
      </c>
      <c r="V803" s="126" t="e">
        <f>V804+V1220</f>
        <v>#REF!</v>
      </c>
      <c r="W803" s="310">
        <f t="shared" si="255"/>
        <v>-109167.5003800001</v>
      </c>
      <c r="X803" s="310">
        <f t="shared" si="256"/>
        <v>0</v>
      </c>
    </row>
    <row r="804" spans="1:24" s="307" customFormat="1" ht="15" x14ac:dyDescent="0.2">
      <c r="A804" s="746" t="s">
        <v>286</v>
      </c>
      <c r="B804" s="306" t="s">
        <v>180</v>
      </c>
      <c r="C804" s="354" t="s">
        <v>8</v>
      </c>
      <c r="D804" s="354"/>
      <c r="E804" s="450"/>
      <c r="F804" s="450"/>
      <c r="G804" s="591">
        <f>G805+G884+G1073+G1097+G1015+G1063</f>
        <v>1037770.9879999999</v>
      </c>
      <c r="H804" s="591">
        <f>H805+H884+H1073+H1097+H1015+H1063</f>
        <v>128057.68699999999</v>
      </c>
      <c r="I804" s="591">
        <f>I805+I884+I1073+I1097+I1015+I1063</f>
        <v>1146938.48838</v>
      </c>
      <c r="J804" s="591">
        <f>J805+J884+J1073+J1097+J1015+J1063</f>
        <v>150813.587</v>
      </c>
      <c r="K804" s="591">
        <f t="shared" si="266"/>
        <v>109167.5003800001</v>
      </c>
      <c r="L804" s="591">
        <f t="shared" si="267"/>
        <v>22755.900000000009</v>
      </c>
      <c r="M804" s="217">
        <f t="shared" si="270"/>
        <v>0</v>
      </c>
      <c r="N804" s="312" t="e">
        <f>N805+N884+N1073+N1097</f>
        <v>#REF!</v>
      </c>
      <c r="R804" s="591" t="e">
        <f>R805+R884+R1073+R1097+R1015+R1063</f>
        <v>#REF!</v>
      </c>
      <c r="S804" s="591" t="e">
        <f>S805+S884+S1073+S1097+S1015+S1063</f>
        <v>#REF!</v>
      </c>
      <c r="T804" s="309">
        <f t="shared" si="276"/>
        <v>109167.5003800001</v>
      </c>
      <c r="U804" s="498" t="e">
        <f>U805+U884+U1073+U1097+U1015+U1063</f>
        <v>#REF!</v>
      </c>
      <c r="V804" s="498" t="e">
        <f>V805+V884+V1073+V1097+V1015+V1063</f>
        <v>#REF!</v>
      </c>
      <c r="W804" s="310">
        <f t="shared" si="255"/>
        <v>-109167.5003800001</v>
      </c>
      <c r="X804" s="310">
        <f t="shared" si="256"/>
        <v>0</v>
      </c>
    </row>
    <row r="805" spans="1:24" s="307" customFormat="1" ht="15" x14ac:dyDescent="0.2">
      <c r="A805" s="746" t="s">
        <v>137</v>
      </c>
      <c r="B805" s="306" t="s">
        <v>180</v>
      </c>
      <c r="C805" s="354" t="s">
        <v>8</v>
      </c>
      <c r="D805" s="354" t="s">
        <v>605</v>
      </c>
      <c r="E805" s="450"/>
      <c r="F805" s="450"/>
      <c r="G805" s="591">
        <f>G810+G863+G806+G856+G852</f>
        <v>234786.38243999999</v>
      </c>
      <c r="H805" s="591">
        <f t="shared" ref="H805:L805" si="277">H810+H863+H806+H856+H852</f>
        <v>20622.8</v>
      </c>
      <c r="I805" s="591">
        <f t="shared" si="277"/>
        <v>263188.47275000002</v>
      </c>
      <c r="J805" s="591">
        <f t="shared" si="277"/>
        <v>20622.8</v>
      </c>
      <c r="K805" s="591">
        <f t="shared" si="277"/>
        <v>28402.090310000029</v>
      </c>
      <c r="L805" s="591">
        <f t="shared" si="277"/>
        <v>0</v>
      </c>
      <c r="M805" s="217">
        <f t="shared" si="270"/>
        <v>0</v>
      </c>
      <c r="N805" s="312" t="e">
        <f>N810+N839</f>
        <v>#REF!</v>
      </c>
      <c r="R805" s="591">
        <f>R810+R863+R806+R856</f>
        <v>227365.06615999999</v>
      </c>
      <c r="S805" s="591">
        <f>S810+S863+S806+S856</f>
        <v>47539.8</v>
      </c>
      <c r="T805" s="309">
        <f t="shared" si="276"/>
        <v>28402.090310000029</v>
      </c>
      <c r="U805" s="498">
        <f>U810+U863+U806</f>
        <v>172581.24526999998</v>
      </c>
      <c r="V805" s="498">
        <f>V810+V863+V806</f>
        <v>0</v>
      </c>
      <c r="W805" s="310">
        <f t="shared" si="255"/>
        <v>-28402.090310000029</v>
      </c>
      <c r="X805" s="310">
        <f t="shared" si="256"/>
        <v>0</v>
      </c>
    </row>
    <row r="806" spans="1:24" s="307" customFormat="1" ht="25.5" hidden="1" x14ac:dyDescent="0.2">
      <c r="A806" s="451" t="s">
        <v>684</v>
      </c>
      <c r="B806" s="306" t="s">
        <v>180</v>
      </c>
      <c r="C806" s="354" t="s">
        <v>8</v>
      </c>
      <c r="D806" s="354" t="s">
        <v>605</v>
      </c>
      <c r="E806" s="450" t="s">
        <v>676</v>
      </c>
      <c r="F806" s="450"/>
      <c r="G806" s="498">
        <f t="shared" ref="G806:J808" si="278">G807</f>
        <v>0</v>
      </c>
      <c r="H806" s="498">
        <f t="shared" si="278"/>
        <v>0</v>
      </c>
      <c r="I806" s="591">
        <f t="shared" si="278"/>
        <v>0</v>
      </c>
      <c r="J806" s="591">
        <f t="shared" si="278"/>
        <v>0</v>
      </c>
      <c r="K806" s="591">
        <f t="shared" si="266"/>
        <v>0</v>
      </c>
      <c r="L806" s="591">
        <f t="shared" si="267"/>
        <v>0</v>
      </c>
      <c r="M806" s="217">
        <f t="shared" si="270"/>
        <v>0</v>
      </c>
      <c r="N806" s="312"/>
      <c r="R806" s="591">
        <f t="shared" ref="R806:S808" si="279">R807</f>
        <v>0</v>
      </c>
      <c r="S806" s="591">
        <f t="shared" si="279"/>
        <v>0</v>
      </c>
      <c r="T806" s="309">
        <f t="shared" si="276"/>
        <v>0</v>
      </c>
      <c r="U806" s="498">
        <f t="shared" ref="U806:V808" si="280">U807</f>
        <v>0</v>
      </c>
      <c r="V806" s="498">
        <f t="shared" si="280"/>
        <v>0</v>
      </c>
      <c r="W806" s="310">
        <f t="shared" si="255"/>
        <v>0</v>
      </c>
      <c r="X806" s="310">
        <f t="shared" si="256"/>
        <v>0</v>
      </c>
    </row>
    <row r="807" spans="1:24" s="307" customFormat="1" ht="76.5" hidden="1" x14ac:dyDescent="0.2">
      <c r="A807" s="494" t="s">
        <v>1194</v>
      </c>
      <c r="B807" s="306" t="s">
        <v>180</v>
      </c>
      <c r="C807" s="354" t="s">
        <v>8</v>
      </c>
      <c r="D807" s="354" t="s">
        <v>605</v>
      </c>
      <c r="E807" s="450" t="s">
        <v>681</v>
      </c>
      <c r="F807" s="450"/>
      <c r="G807" s="498">
        <f t="shared" si="278"/>
        <v>0</v>
      </c>
      <c r="H807" s="498">
        <f t="shared" si="278"/>
        <v>0</v>
      </c>
      <c r="I807" s="591">
        <f t="shared" si="278"/>
        <v>0</v>
      </c>
      <c r="J807" s="591">
        <f t="shared" si="278"/>
        <v>0</v>
      </c>
      <c r="K807" s="591">
        <f t="shared" si="266"/>
        <v>0</v>
      </c>
      <c r="L807" s="591">
        <f t="shared" si="267"/>
        <v>0</v>
      </c>
      <c r="M807" s="217">
        <f t="shared" si="270"/>
        <v>0</v>
      </c>
      <c r="N807" s="312"/>
      <c r="R807" s="591">
        <f t="shared" si="279"/>
        <v>0</v>
      </c>
      <c r="S807" s="591">
        <f t="shared" si="279"/>
        <v>0</v>
      </c>
      <c r="T807" s="309">
        <f t="shared" si="276"/>
        <v>0</v>
      </c>
      <c r="U807" s="498">
        <f t="shared" si="280"/>
        <v>0</v>
      </c>
      <c r="V807" s="498">
        <f t="shared" si="280"/>
        <v>0</v>
      </c>
      <c r="W807" s="310">
        <f t="shared" si="255"/>
        <v>0</v>
      </c>
      <c r="X807" s="310">
        <f t="shared" si="256"/>
        <v>0</v>
      </c>
    </row>
    <row r="808" spans="1:24" s="307" customFormat="1" ht="25.5" hidden="1" x14ac:dyDescent="0.2">
      <c r="A808" s="451" t="s">
        <v>237</v>
      </c>
      <c r="B808" s="306" t="s">
        <v>180</v>
      </c>
      <c r="C808" s="354" t="s">
        <v>8</v>
      </c>
      <c r="D808" s="354" t="s">
        <v>605</v>
      </c>
      <c r="E808" s="450" t="s">
        <v>756</v>
      </c>
      <c r="F808" s="450"/>
      <c r="G808" s="498">
        <f t="shared" si="278"/>
        <v>0</v>
      </c>
      <c r="H808" s="498">
        <f t="shared" si="278"/>
        <v>0</v>
      </c>
      <c r="I808" s="591">
        <f t="shared" si="278"/>
        <v>0</v>
      </c>
      <c r="J808" s="591">
        <f t="shared" si="278"/>
        <v>0</v>
      </c>
      <c r="K808" s="591">
        <f t="shared" si="266"/>
        <v>0</v>
      </c>
      <c r="L808" s="591">
        <f t="shared" si="267"/>
        <v>0</v>
      </c>
      <c r="M808" s="217">
        <f t="shared" si="270"/>
        <v>0</v>
      </c>
      <c r="N808" s="312"/>
      <c r="R808" s="591">
        <f t="shared" si="279"/>
        <v>0</v>
      </c>
      <c r="S808" s="591">
        <f t="shared" si="279"/>
        <v>0</v>
      </c>
      <c r="T808" s="309">
        <f t="shared" si="276"/>
        <v>0</v>
      </c>
      <c r="U808" s="498">
        <f t="shared" si="280"/>
        <v>0</v>
      </c>
      <c r="V808" s="498">
        <f t="shared" si="280"/>
        <v>0</v>
      </c>
      <c r="W808" s="310">
        <f t="shared" si="255"/>
        <v>0</v>
      </c>
      <c r="X808" s="310">
        <f t="shared" si="256"/>
        <v>0</v>
      </c>
    </row>
    <row r="809" spans="1:24" ht="15" hidden="1" x14ac:dyDescent="0.2">
      <c r="A809" s="124" t="s">
        <v>125</v>
      </c>
      <c r="B809" s="243" t="s">
        <v>180</v>
      </c>
      <c r="C809" s="353" t="s">
        <v>8</v>
      </c>
      <c r="D809" s="353" t="s">
        <v>605</v>
      </c>
      <c r="E809" s="369" t="s">
        <v>756</v>
      </c>
      <c r="F809" s="369" t="s">
        <v>123</v>
      </c>
      <c r="G809" s="288"/>
      <c r="H809" s="288"/>
      <c r="I809" s="288"/>
      <c r="J809" s="288"/>
      <c r="K809" s="43">
        <f t="shared" si="266"/>
        <v>0</v>
      </c>
      <c r="L809" s="43">
        <f t="shared" si="267"/>
        <v>0</v>
      </c>
      <c r="M809" s="217">
        <f t="shared" si="270"/>
        <v>0</v>
      </c>
      <c r="N809" s="127"/>
      <c r="R809" s="288"/>
      <c r="S809" s="288"/>
      <c r="T809" s="217">
        <f t="shared" si="276"/>
        <v>0</v>
      </c>
      <c r="U809" s="288"/>
      <c r="V809" s="288"/>
      <c r="W809" s="203">
        <f t="shared" si="255"/>
        <v>0</v>
      </c>
      <c r="X809" s="203">
        <f t="shared" si="256"/>
        <v>0</v>
      </c>
    </row>
    <row r="810" spans="1:24" s="307" customFormat="1" ht="15" x14ac:dyDescent="0.2">
      <c r="A810" s="746" t="s">
        <v>349</v>
      </c>
      <c r="B810" s="306" t="s">
        <v>180</v>
      </c>
      <c r="C810" s="354" t="s">
        <v>8</v>
      </c>
      <c r="D810" s="354" t="s">
        <v>605</v>
      </c>
      <c r="E810" s="450" t="s">
        <v>351</v>
      </c>
      <c r="F810" s="450"/>
      <c r="G810" s="591">
        <f>G811+G847</f>
        <v>194873.33022999999</v>
      </c>
      <c r="H810" s="591">
        <f>H811+H847</f>
        <v>0</v>
      </c>
      <c r="I810" s="591">
        <f>I811+I847</f>
        <v>223145.42054000002</v>
      </c>
      <c r="J810" s="591">
        <f>J811+J847</f>
        <v>0</v>
      </c>
      <c r="K810" s="591">
        <f t="shared" si="266"/>
        <v>28272.090310000029</v>
      </c>
      <c r="L810" s="591">
        <f t="shared" si="267"/>
        <v>0</v>
      </c>
      <c r="M810" s="217">
        <f t="shared" si="270"/>
        <v>0</v>
      </c>
      <c r="N810" s="328" t="e">
        <f>N811</f>
        <v>#REF!</v>
      </c>
      <c r="R810" s="591">
        <f>R811+R847</f>
        <v>173137.51335999998</v>
      </c>
      <c r="S810" s="591">
        <f>S811+S847</f>
        <v>0</v>
      </c>
      <c r="T810" s="309">
        <f t="shared" si="276"/>
        <v>28272.090310000029</v>
      </c>
      <c r="U810" s="498">
        <f>U811+U847</f>
        <v>172461.24526999998</v>
      </c>
      <c r="V810" s="498">
        <f>V811+V847</f>
        <v>0</v>
      </c>
      <c r="W810" s="310">
        <f t="shared" si="255"/>
        <v>-28272.090310000029</v>
      </c>
      <c r="X810" s="310">
        <f t="shared" si="256"/>
        <v>0</v>
      </c>
    </row>
    <row r="811" spans="1:24" s="307" customFormat="1" ht="15" x14ac:dyDescent="0.2">
      <c r="A811" s="746" t="s">
        <v>350</v>
      </c>
      <c r="B811" s="306" t="s">
        <v>180</v>
      </c>
      <c r="C811" s="354" t="s">
        <v>8</v>
      </c>
      <c r="D811" s="354" t="s">
        <v>605</v>
      </c>
      <c r="E811" s="450" t="s">
        <v>352</v>
      </c>
      <c r="F811" s="450"/>
      <c r="G811" s="591">
        <f t="shared" ref="G811:L811" si="281">G812+G844</f>
        <v>194873.33022999999</v>
      </c>
      <c r="H811" s="591">
        <f t="shared" si="281"/>
        <v>0</v>
      </c>
      <c r="I811" s="591">
        <f t="shared" si="281"/>
        <v>223145.42054000002</v>
      </c>
      <c r="J811" s="591">
        <f t="shared" si="281"/>
        <v>0</v>
      </c>
      <c r="K811" s="591">
        <f t="shared" si="281"/>
        <v>28272.090309999996</v>
      </c>
      <c r="L811" s="591">
        <f t="shared" si="281"/>
        <v>0</v>
      </c>
      <c r="M811" s="217">
        <f t="shared" si="270"/>
        <v>3.2741809263825417E-11</v>
      </c>
      <c r="N811" s="328" t="e">
        <f>N812</f>
        <v>#REF!</v>
      </c>
      <c r="R811" s="591">
        <f>R812</f>
        <v>173137.51335999998</v>
      </c>
      <c r="S811" s="591">
        <f>S812</f>
        <v>0</v>
      </c>
      <c r="T811" s="309">
        <f t="shared" si="276"/>
        <v>28272.090310000029</v>
      </c>
      <c r="U811" s="498">
        <f>U812</f>
        <v>172461.24526999998</v>
      </c>
      <c r="V811" s="498">
        <f>V812</f>
        <v>0</v>
      </c>
      <c r="W811" s="310">
        <f t="shared" si="255"/>
        <v>-28272.090310000029</v>
      </c>
      <c r="X811" s="310">
        <f t="shared" si="256"/>
        <v>-3.2741809263825417E-11</v>
      </c>
    </row>
    <row r="812" spans="1:24" s="307" customFormat="1" ht="15" x14ac:dyDescent="0.2">
      <c r="A812" s="746" t="s">
        <v>1300</v>
      </c>
      <c r="B812" s="306" t="s">
        <v>180</v>
      </c>
      <c r="C812" s="354" t="s">
        <v>8</v>
      </c>
      <c r="D812" s="354" t="s">
        <v>605</v>
      </c>
      <c r="E812" s="450" t="s">
        <v>359</v>
      </c>
      <c r="F812" s="450"/>
      <c r="G812" s="591">
        <f t="shared" ref="G812:L812" si="282">G827+G830+G813+G836+G818+G839+G833+G841+G821+G824</f>
        <v>191279.63022999998</v>
      </c>
      <c r="H812" s="591">
        <f t="shared" si="282"/>
        <v>0</v>
      </c>
      <c r="I812" s="591">
        <f t="shared" si="282"/>
        <v>219551.72054000001</v>
      </c>
      <c r="J812" s="591">
        <f t="shared" si="282"/>
        <v>0</v>
      </c>
      <c r="K812" s="591">
        <f t="shared" si="282"/>
        <v>28272.090309999996</v>
      </c>
      <c r="L812" s="591">
        <f t="shared" si="282"/>
        <v>0</v>
      </c>
      <c r="M812" s="217">
        <f t="shared" si="270"/>
        <v>3.2741809263825417E-11</v>
      </c>
      <c r="N812" s="328" t="e">
        <f>N827+N830+N813</f>
        <v>#REF!</v>
      </c>
      <c r="R812" s="591">
        <f>R827+R830+R813+R836+R818+R839+R833+R841</f>
        <v>173137.51335999998</v>
      </c>
      <c r="S812" s="591">
        <f>S827+S830+S813+S836+S818+S839+S833+S841</f>
        <v>0</v>
      </c>
      <c r="T812" s="309">
        <f t="shared" si="276"/>
        <v>28272.090310000029</v>
      </c>
      <c r="U812" s="498">
        <f>U827+U830+U813+U836+U818+U839+U833+U841</f>
        <v>172461.24526999998</v>
      </c>
      <c r="V812" s="498">
        <f>V827+V830+V813+V836+V818+V839+V833+V841</f>
        <v>0</v>
      </c>
      <c r="W812" s="310">
        <f t="shared" si="255"/>
        <v>-28272.090310000029</v>
      </c>
      <c r="X812" s="310">
        <f t="shared" si="256"/>
        <v>-3.2741809263825417E-11</v>
      </c>
    </row>
    <row r="813" spans="1:24" s="307" customFormat="1" ht="15" x14ac:dyDescent="0.2">
      <c r="A813" s="746" t="s">
        <v>650</v>
      </c>
      <c r="B813" s="306" t="s">
        <v>180</v>
      </c>
      <c r="C813" s="354" t="s">
        <v>8</v>
      </c>
      <c r="D813" s="354" t="s">
        <v>605</v>
      </c>
      <c r="E813" s="450" t="s">
        <v>564</v>
      </c>
      <c r="F813" s="450"/>
      <c r="G813" s="591">
        <f>SUM(G814:G817)</f>
        <v>31853.619230000004</v>
      </c>
      <c r="H813" s="591">
        <f>SUM(H814:H816)</f>
        <v>0</v>
      </c>
      <c r="I813" s="591">
        <f>SUM(I814:I817)</f>
        <v>31524.99553</v>
      </c>
      <c r="J813" s="591">
        <f>SUM(J814:J816)</f>
        <v>0</v>
      </c>
      <c r="K813" s="591">
        <f t="shared" si="266"/>
        <v>-328.62370000000374</v>
      </c>
      <c r="L813" s="591">
        <f t="shared" si="267"/>
        <v>0</v>
      </c>
      <c r="M813" s="217">
        <f t="shared" si="270"/>
        <v>0</v>
      </c>
      <c r="N813" s="292" t="e">
        <f>N814+#REF!+N816</f>
        <v>#REF!</v>
      </c>
      <c r="R813" s="591">
        <f>SUM(R814:R816)</f>
        <v>30632.196360000002</v>
      </c>
      <c r="S813" s="591">
        <f>SUM(S814:S816)</f>
        <v>0</v>
      </c>
      <c r="T813" s="309">
        <f t="shared" si="276"/>
        <v>-328.62370000000374</v>
      </c>
      <c r="U813" s="498">
        <f>SUM(U814:U816)</f>
        <v>29944.90727</v>
      </c>
      <c r="V813" s="498">
        <f>SUM(V814:V816)</f>
        <v>0</v>
      </c>
      <c r="W813" s="310">
        <f t="shared" si="255"/>
        <v>328.62370000000374</v>
      </c>
      <c r="X813" s="310">
        <f t="shared" si="256"/>
        <v>0</v>
      </c>
    </row>
    <row r="814" spans="1:24" ht="25.5" x14ac:dyDescent="0.2">
      <c r="A814" s="739" t="s">
        <v>648</v>
      </c>
      <c r="B814" s="243" t="s">
        <v>180</v>
      </c>
      <c r="C814" s="353" t="s">
        <v>8</v>
      </c>
      <c r="D814" s="353" t="s">
        <v>605</v>
      </c>
      <c r="E814" s="369" t="s">
        <v>564</v>
      </c>
      <c r="F814" s="369" t="s">
        <v>127</v>
      </c>
      <c r="G814" s="288">
        <v>20827.645100000002</v>
      </c>
      <c r="H814" s="288"/>
      <c r="I814" s="288">
        <v>23544.43059</v>
      </c>
      <c r="J814" s="288"/>
      <c r="K814" s="43">
        <f t="shared" si="266"/>
        <v>2716.7854899999984</v>
      </c>
      <c r="L814" s="43">
        <f t="shared" si="267"/>
        <v>0</v>
      </c>
      <c r="M814" s="217">
        <f t="shared" si="270"/>
        <v>0</v>
      </c>
      <c r="N814" s="43">
        <v>22160.544000000002</v>
      </c>
      <c r="R814" s="288">
        <v>21550.16044</v>
      </c>
      <c r="S814" s="288"/>
      <c r="T814" s="217">
        <f t="shared" si="276"/>
        <v>2716.7854899999984</v>
      </c>
      <c r="U814" s="288">
        <v>19698.44399</v>
      </c>
      <c r="V814" s="288">
        <v>0</v>
      </c>
      <c r="W814" s="203">
        <f t="shared" si="255"/>
        <v>-2716.7854899999984</v>
      </c>
      <c r="X814" s="203">
        <f t="shared" si="256"/>
        <v>0</v>
      </c>
    </row>
    <row r="815" spans="1:24" ht="15" customHeight="1" x14ac:dyDescent="0.2">
      <c r="A815" s="739" t="s">
        <v>125</v>
      </c>
      <c r="B815" s="243" t="s">
        <v>180</v>
      </c>
      <c r="C815" s="353" t="s">
        <v>8</v>
      </c>
      <c r="D815" s="353" t="s">
        <v>605</v>
      </c>
      <c r="E815" s="369" t="s">
        <v>564</v>
      </c>
      <c r="F815" s="369" t="s">
        <v>123</v>
      </c>
      <c r="G815" s="288">
        <v>15</v>
      </c>
      <c r="H815" s="288"/>
      <c r="I815" s="288">
        <v>15</v>
      </c>
      <c r="J815" s="288"/>
      <c r="K815" s="43">
        <f t="shared" si="266"/>
        <v>0</v>
      </c>
      <c r="L815" s="43">
        <f t="shared" si="267"/>
        <v>0</v>
      </c>
      <c r="M815" s="217">
        <f t="shared" si="270"/>
        <v>0</v>
      </c>
      <c r="N815" s="43"/>
      <c r="R815" s="288"/>
      <c r="S815" s="288"/>
      <c r="T815" s="217"/>
      <c r="U815" s="288"/>
      <c r="V815" s="288"/>
      <c r="W815" s="203">
        <f t="shared" si="255"/>
        <v>0</v>
      </c>
      <c r="X815" s="203">
        <f t="shared" si="256"/>
        <v>0</v>
      </c>
    </row>
    <row r="816" spans="1:24" ht="25.5" x14ac:dyDescent="0.2">
      <c r="A816" s="739" t="s">
        <v>646</v>
      </c>
      <c r="B816" s="243" t="s">
        <v>180</v>
      </c>
      <c r="C816" s="353" t="s">
        <v>8</v>
      </c>
      <c r="D816" s="353" t="s">
        <v>605</v>
      </c>
      <c r="E816" s="369" t="s">
        <v>564</v>
      </c>
      <c r="F816" s="369" t="s">
        <v>128</v>
      </c>
      <c r="G816" s="288">
        <v>10995.974130000001</v>
      </c>
      <c r="H816" s="288"/>
      <c r="I816" s="288">
        <v>7950.5649400000002</v>
      </c>
      <c r="J816" s="288"/>
      <c r="K816" s="43">
        <f t="shared" si="266"/>
        <v>-3045.4091900000003</v>
      </c>
      <c r="L816" s="43">
        <f t="shared" si="267"/>
        <v>0</v>
      </c>
      <c r="M816" s="217">
        <f t="shared" si="270"/>
        <v>0</v>
      </c>
      <c r="N816" s="43">
        <v>8779.5640000000003</v>
      </c>
      <c r="R816" s="288">
        <v>9082.0359200000003</v>
      </c>
      <c r="S816" s="288"/>
      <c r="T816" s="217">
        <f t="shared" ref="T816:T832" si="283">I816-G816</f>
        <v>-3045.4091900000003</v>
      </c>
      <c r="U816" s="288">
        <v>10246.46328</v>
      </c>
      <c r="V816" s="288">
        <v>0</v>
      </c>
      <c r="W816" s="203">
        <f t="shared" si="255"/>
        <v>3045.4091900000003</v>
      </c>
      <c r="X816" s="203">
        <f t="shared" si="256"/>
        <v>0</v>
      </c>
    </row>
    <row r="817" spans="1:24" ht="15" x14ac:dyDescent="0.2">
      <c r="A817" s="739" t="s">
        <v>126</v>
      </c>
      <c r="B817" s="243" t="s">
        <v>180</v>
      </c>
      <c r="C817" s="353" t="s">
        <v>8</v>
      </c>
      <c r="D817" s="353" t="s">
        <v>605</v>
      </c>
      <c r="E817" s="369" t="s">
        <v>564</v>
      </c>
      <c r="F817" s="369">
        <v>622</v>
      </c>
      <c r="G817" s="288">
        <v>15</v>
      </c>
      <c r="H817" s="288"/>
      <c r="I817" s="288">
        <v>15</v>
      </c>
      <c r="J817" s="288"/>
      <c r="K817" s="43">
        <f t="shared" si="266"/>
        <v>0</v>
      </c>
      <c r="L817" s="43">
        <f t="shared" si="267"/>
        <v>0</v>
      </c>
      <c r="M817" s="217">
        <f t="shared" si="270"/>
        <v>0</v>
      </c>
      <c r="N817" s="43"/>
      <c r="R817" s="288"/>
      <c r="S817" s="288"/>
      <c r="T817" s="217">
        <f t="shared" si="283"/>
        <v>0</v>
      </c>
      <c r="U817" s="288"/>
      <c r="V817" s="288"/>
      <c r="W817" s="203">
        <f t="shared" si="255"/>
        <v>0</v>
      </c>
      <c r="X817" s="203">
        <f t="shared" si="256"/>
        <v>0</v>
      </c>
    </row>
    <row r="818" spans="1:24" s="307" customFormat="1" ht="15" x14ac:dyDescent="0.2">
      <c r="A818" s="746" t="s">
        <v>933</v>
      </c>
      <c r="B818" s="306" t="s">
        <v>180</v>
      </c>
      <c r="C818" s="354" t="s">
        <v>8</v>
      </c>
      <c r="D818" s="354" t="s">
        <v>605</v>
      </c>
      <c r="E818" s="450" t="s">
        <v>361</v>
      </c>
      <c r="F818" s="450"/>
      <c r="G818" s="591">
        <f>G819+G820</f>
        <v>103152.9</v>
      </c>
      <c r="H818" s="591">
        <f>H819+H820</f>
        <v>0</v>
      </c>
      <c r="I818" s="591">
        <f>I819+I820</f>
        <v>103152.9</v>
      </c>
      <c r="J818" s="591">
        <f>J819+J820</f>
        <v>0</v>
      </c>
      <c r="K818" s="591">
        <f t="shared" si="266"/>
        <v>0</v>
      </c>
      <c r="L818" s="591">
        <f t="shared" si="267"/>
        <v>0</v>
      </c>
      <c r="M818" s="217">
        <f t="shared" si="270"/>
        <v>0</v>
      </c>
      <c r="N818" s="328"/>
      <c r="R818" s="591">
        <f>R819+R820</f>
        <v>91216.4</v>
      </c>
      <c r="S818" s="591">
        <f>S819+S820</f>
        <v>0</v>
      </c>
      <c r="T818" s="309"/>
      <c r="U818" s="498">
        <f>U819+U820</f>
        <v>93150</v>
      </c>
      <c r="V818" s="498">
        <f>V819+V820</f>
        <v>0</v>
      </c>
      <c r="W818" s="310">
        <f>G818-I818</f>
        <v>0</v>
      </c>
      <c r="X818" s="310">
        <f>K818+W818</f>
        <v>0</v>
      </c>
    </row>
    <row r="819" spans="1:24" ht="25.5" x14ac:dyDescent="0.2">
      <c r="A819" s="739" t="s">
        <v>648</v>
      </c>
      <c r="B819" s="243" t="s">
        <v>180</v>
      </c>
      <c r="C819" s="353" t="s">
        <v>8</v>
      </c>
      <c r="D819" s="353" t="s">
        <v>605</v>
      </c>
      <c r="E819" s="369" t="s">
        <v>361</v>
      </c>
      <c r="F819" s="369" t="s">
        <v>127</v>
      </c>
      <c r="G819" s="288">
        <v>68982.419500000004</v>
      </c>
      <c r="H819" s="288"/>
      <c r="I819" s="288">
        <v>68982.419500000004</v>
      </c>
      <c r="J819" s="288"/>
      <c r="K819" s="43">
        <f t="shared" si="266"/>
        <v>0</v>
      </c>
      <c r="L819" s="43">
        <f t="shared" si="267"/>
        <v>0</v>
      </c>
      <c r="M819" s="217">
        <f t="shared" si="270"/>
        <v>0</v>
      </c>
      <c r="N819" s="182"/>
      <c r="R819" s="288">
        <v>63045.231169999999</v>
      </c>
      <c r="S819" s="288"/>
      <c r="T819" s="217"/>
      <c r="U819" s="288">
        <v>64144.471400000002</v>
      </c>
      <c r="V819" s="288">
        <v>0</v>
      </c>
      <c r="W819" s="203">
        <f>G819-I819</f>
        <v>0</v>
      </c>
      <c r="X819" s="203">
        <f>K819+W819</f>
        <v>0</v>
      </c>
    </row>
    <row r="820" spans="1:24" ht="25.5" x14ac:dyDescent="0.2">
      <c r="A820" s="739" t="s">
        <v>646</v>
      </c>
      <c r="B820" s="243" t="s">
        <v>180</v>
      </c>
      <c r="C820" s="353" t="s">
        <v>8</v>
      </c>
      <c r="D820" s="353" t="s">
        <v>605</v>
      </c>
      <c r="E820" s="369" t="s">
        <v>361</v>
      </c>
      <c r="F820" s="369" t="s">
        <v>128</v>
      </c>
      <c r="G820" s="288">
        <v>34170.480499999998</v>
      </c>
      <c r="H820" s="288"/>
      <c r="I820" s="288">
        <v>34170.480499999998</v>
      </c>
      <c r="J820" s="288"/>
      <c r="K820" s="43">
        <f t="shared" si="266"/>
        <v>0</v>
      </c>
      <c r="L820" s="43">
        <f t="shared" si="267"/>
        <v>0</v>
      </c>
      <c r="M820" s="217">
        <f t="shared" si="270"/>
        <v>0</v>
      </c>
      <c r="N820" s="182"/>
      <c r="R820" s="288">
        <v>28171.168829999999</v>
      </c>
      <c r="S820" s="288"/>
      <c r="T820" s="217"/>
      <c r="U820" s="288">
        <v>29005.528600000001</v>
      </c>
      <c r="V820" s="288">
        <v>0</v>
      </c>
      <c r="W820" s="203">
        <f>G820-I820</f>
        <v>0</v>
      </c>
      <c r="X820" s="203">
        <f>K820+W820</f>
        <v>0</v>
      </c>
    </row>
    <row r="821" spans="1:24" ht="25.5" x14ac:dyDescent="0.2">
      <c r="A821" s="746" t="s">
        <v>1678</v>
      </c>
      <c r="B821" s="306" t="s">
        <v>180</v>
      </c>
      <c r="C821" s="354" t="s">
        <v>8</v>
      </c>
      <c r="D821" s="354" t="s">
        <v>605</v>
      </c>
      <c r="E821" s="617">
        <v>7810174650</v>
      </c>
      <c r="F821" s="617"/>
      <c r="G821" s="591">
        <f>G822+G823</f>
        <v>1055</v>
      </c>
      <c r="H821" s="591">
        <f>H822+H823</f>
        <v>0</v>
      </c>
      <c r="I821" s="591">
        <f>I822+I823</f>
        <v>1055</v>
      </c>
      <c r="J821" s="591">
        <f>J822+J823</f>
        <v>0</v>
      </c>
      <c r="K821" s="591">
        <f t="shared" si="266"/>
        <v>0</v>
      </c>
      <c r="L821" s="591">
        <f t="shared" si="267"/>
        <v>0</v>
      </c>
      <c r="M821" s="217"/>
      <c r="N821" s="182"/>
      <c r="R821" s="288"/>
      <c r="S821" s="288"/>
      <c r="T821" s="217"/>
      <c r="U821" s="288"/>
      <c r="V821" s="288"/>
      <c r="W821" s="203"/>
      <c r="X821" s="203"/>
    </row>
    <row r="822" spans="1:24" ht="15" x14ac:dyDescent="0.2">
      <c r="A822" s="739" t="s">
        <v>125</v>
      </c>
      <c r="B822" s="243" t="s">
        <v>180</v>
      </c>
      <c r="C822" s="353" t="s">
        <v>8</v>
      </c>
      <c r="D822" s="353" t="s">
        <v>605</v>
      </c>
      <c r="E822" s="369">
        <v>7810174650</v>
      </c>
      <c r="F822" s="369">
        <v>612</v>
      </c>
      <c r="G822" s="288">
        <v>844.09145999999998</v>
      </c>
      <c r="H822" s="288"/>
      <c r="I822" s="288">
        <v>817.37660000000005</v>
      </c>
      <c r="J822" s="288"/>
      <c r="K822" s="43">
        <f t="shared" si="266"/>
        <v>-26.714859999999931</v>
      </c>
      <c r="L822" s="43">
        <f t="shared" si="267"/>
        <v>0</v>
      </c>
      <c r="M822" s="217"/>
      <c r="N822" s="182"/>
      <c r="R822" s="288"/>
      <c r="S822" s="288"/>
      <c r="T822" s="217"/>
      <c r="U822" s="288"/>
      <c r="V822" s="288"/>
      <c r="W822" s="203"/>
      <c r="X822" s="203"/>
    </row>
    <row r="823" spans="1:24" ht="15" x14ac:dyDescent="0.2">
      <c r="A823" s="739" t="s">
        <v>126</v>
      </c>
      <c r="B823" s="243" t="s">
        <v>180</v>
      </c>
      <c r="C823" s="353" t="s">
        <v>8</v>
      </c>
      <c r="D823" s="353" t="s">
        <v>605</v>
      </c>
      <c r="E823" s="369">
        <v>7810174650</v>
      </c>
      <c r="F823" s="369">
        <v>622</v>
      </c>
      <c r="G823" s="288">
        <v>210.90853999999999</v>
      </c>
      <c r="H823" s="288"/>
      <c r="I823" s="288">
        <v>237.6234</v>
      </c>
      <c r="J823" s="288"/>
      <c r="K823" s="43">
        <f t="shared" si="266"/>
        <v>26.714860000000016</v>
      </c>
      <c r="L823" s="43">
        <f t="shared" si="267"/>
        <v>0</v>
      </c>
      <c r="M823" s="217"/>
      <c r="N823" s="182"/>
      <c r="R823" s="288"/>
      <c r="S823" s="288"/>
      <c r="T823" s="217"/>
      <c r="U823" s="288"/>
      <c r="V823" s="288"/>
      <c r="W823" s="203"/>
      <c r="X823" s="203"/>
    </row>
    <row r="824" spans="1:24" ht="42.75" customHeight="1" x14ac:dyDescent="0.2">
      <c r="A824" s="746" t="s">
        <v>1931</v>
      </c>
      <c r="B824" s="306" t="s">
        <v>180</v>
      </c>
      <c r="C824" s="354" t="s">
        <v>8</v>
      </c>
      <c r="D824" s="354" t="s">
        <v>605</v>
      </c>
      <c r="E824" s="691">
        <v>7810174880</v>
      </c>
      <c r="F824" s="691"/>
      <c r="G824" s="591">
        <f>G825+G826</f>
        <v>604.79999999999995</v>
      </c>
      <c r="H824" s="591">
        <f>H825+H826</f>
        <v>0</v>
      </c>
      <c r="I824" s="591">
        <f>I825+I826</f>
        <v>516.6</v>
      </c>
      <c r="J824" s="591">
        <f>J825+J826</f>
        <v>0</v>
      </c>
      <c r="K824" s="591">
        <f t="shared" ref="K824:L826" si="284">I824-G824</f>
        <v>-88.199999999999932</v>
      </c>
      <c r="L824" s="591">
        <f t="shared" si="284"/>
        <v>0</v>
      </c>
      <c r="M824" s="217"/>
      <c r="N824" s="182"/>
      <c r="R824" s="288"/>
      <c r="S824" s="288"/>
      <c r="T824" s="217"/>
      <c r="U824" s="288"/>
      <c r="V824" s="288"/>
      <c r="W824" s="203"/>
      <c r="X824" s="203"/>
    </row>
    <row r="825" spans="1:24" ht="15" x14ac:dyDescent="0.2">
      <c r="A825" s="739" t="s">
        <v>125</v>
      </c>
      <c r="B825" s="243" t="s">
        <v>180</v>
      </c>
      <c r="C825" s="353" t="s">
        <v>8</v>
      </c>
      <c r="D825" s="353" t="s">
        <v>605</v>
      </c>
      <c r="E825" s="369">
        <v>7810174880</v>
      </c>
      <c r="F825" s="369">
        <v>612</v>
      </c>
      <c r="G825" s="288">
        <v>201.6</v>
      </c>
      <c r="H825" s="288"/>
      <c r="I825" s="288">
        <v>201.6</v>
      </c>
      <c r="J825" s="288"/>
      <c r="K825" s="43">
        <f t="shared" si="284"/>
        <v>0</v>
      </c>
      <c r="L825" s="43">
        <f t="shared" si="284"/>
        <v>0</v>
      </c>
      <c r="M825" s="217"/>
      <c r="N825" s="182"/>
      <c r="R825" s="288"/>
      <c r="S825" s="288"/>
      <c r="T825" s="217"/>
      <c r="U825" s="288"/>
      <c r="V825" s="288"/>
      <c r="W825" s="203"/>
      <c r="X825" s="203"/>
    </row>
    <row r="826" spans="1:24" ht="15" x14ac:dyDescent="0.2">
      <c r="A826" s="739" t="s">
        <v>126</v>
      </c>
      <c r="B826" s="243" t="s">
        <v>180</v>
      </c>
      <c r="C826" s="353" t="s">
        <v>8</v>
      </c>
      <c r="D826" s="353" t="s">
        <v>605</v>
      </c>
      <c r="E826" s="369">
        <v>7810174880</v>
      </c>
      <c r="F826" s="369">
        <v>622</v>
      </c>
      <c r="G826" s="288">
        <v>403.2</v>
      </c>
      <c r="H826" s="288"/>
      <c r="I826" s="288">
        <v>315</v>
      </c>
      <c r="J826" s="288"/>
      <c r="K826" s="43">
        <f t="shared" si="284"/>
        <v>-88.199999999999989</v>
      </c>
      <c r="L826" s="43">
        <f t="shared" si="284"/>
        <v>0</v>
      </c>
      <c r="M826" s="217"/>
      <c r="N826" s="182"/>
      <c r="R826" s="288"/>
      <c r="S826" s="288"/>
      <c r="T826" s="217"/>
      <c r="U826" s="288"/>
      <c r="V826" s="288"/>
      <c r="W826" s="203"/>
      <c r="X826" s="203"/>
    </row>
    <row r="827" spans="1:24" s="307" customFormat="1" ht="25.5" x14ac:dyDescent="0.2">
      <c r="A827" s="746" t="s">
        <v>1247</v>
      </c>
      <c r="B827" s="306" t="s">
        <v>180</v>
      </c>
      <c r="C827" s="354" t="s">
        <v>8</v>
      </c>
      <c r="D827" s="354" t="s">
        <v>605</v>
      </c>
      <c r="E827" s="450" t="s">
        <v>1112</v>
      </c>
      <c r="F827" s="450"/>
      <c r="G827" s="591">
        <f>G828+G829</f>
        <v>54613.311000000002</v>
      </c>
      <c r="H827" s="591">
        <f>H828+H829</f>
        <v>0</v>
      </c>
      <c r="I827" s="591">
        <f>I828+I829</f>
        <v>54613.311000000002</v>
      </c>
      <c r="J827" s="591">
        <f>J828+J829</f>
        <v>0</v>
      </c>
      <c r="K827" s="591">
        <f t="shared" si="266"/>
        <v>0</v>
      </c>
      <c r="L827" s="591">
        <f t="shared" si="267"/>
        <v>0</v>
      </c>
      <c r="M827" s="217">
        <f t="shared" si="270"/>
        <v>0</v>
      </c>
      <c r="N827" s="328">
        <f>N828</f>
        <v>8442.2999999999993</v>
      </c>
      <c r="R827" s="591">
        <f>R828+R829</f>
        <v>51288.917000000001</v>
      </c>
      <c r="S827" s="591">
        <f>S828+S829</f>
        <v>0</v>
      </c>
      <c r="T827" s="309">
        <f t="shared" si="283"/>
        <v>0</v>
      </c>
      <c r="U827" s="498">
        <f>U828+U829</f>
        <v>35288.894</v>
      </c>
      <c r="V827" s="498">
        <f>V828+V829</f>
        <v>0</v>
      </c>
      <c r="W827" s="310">
        <f t="shared" si="255"/>
        <v>0</v>
      </c>
      <c r="X827" s="310">
        <f t="shared" si="256"/>
        <v>0</v>
      </c>
    </row>
    <row r="828" spans="1:24" ht="25.5" x14ac:dyDescent="0.2">
      <c r="A828" s="739" t="s">
        <v>648</v>
      </c>
      <c r="B828" s="243" t="s">
        <v>180</v>
      </c>
      <c r="C828" s="353" t="s">
        <v>8</v>
      </c>
      <c r="D828" s="353" t="s">
        <v>605</v>
      </c>
      <c r="E828" s="369" t="s">
        <v>1112</v>
      </c>
      <c r="F828" s="369" t="s">
        <v>127</v>
      </c>
      <c r="G828" s="288">
        <v>38036.822999999997</v>
      </c>
      <c r="H828" s="288"/>
      <c r="I828" s="288">
        <v>37978.362699999998</v>
      </c>
      <c r="J828" s="288"/>
      <c r="K828" s="43">
        <f t="shared" si="266"/>
        <v>-58.460299999998824</v>
      </c>
      <c r="L828" s="43">
        <f t="shared" si="267"/>
        <v>0</v>
      </c>
      <c r="M828" s="217">
        <f t="shared" si="270"/>
        <v>0</v>
      </c>
      <c r="N828" s="182">
        <f>6340.4+2101.9</f>
        <v>8442.2999999999993</v>
      </c>
      <c r="P828" s="166" t="e">
        <f>G827+#REF!</f>
        <v>#REF!</v>
      </c>
      <c r="Q828" s="166"/>
      <c r="R828" s="288">
        <v>36636.745540000004</v>
      </c>
      <c r="S828" s="288"/>
      <c r="T828" s="217">
        <f t="shared" si="283"/>
        <v>-58.460299999998824</v>
      </c>
      <c r="U828" s="288">
        <v>28303.975999999999</v>
      </c>
      <c r="V828" s="288">
        <v>0</v>
      </c>
      <c r="W828" s="203">
        <f t="shared" si="255"/>
        <v>58.460299999998824</v>
      </c>
      <c r="X828" s="203">
        <f t="shared" si="256"/>
        <v>0</v>
      </c>
    </row>
    <row r="829" spans="1:24" ht="25.5" x14ac:dyDescent="0.2">
      <c r="A829" s="739" t="s">
        <v>646</v>
      </c>
      <c r="B829" s="243" t="s">
        <v>180</v>
      </c>
      <c r="C829" s="353" t="s">
        <v>8</v>
      </c>
      <c r="D829" s="353" t="s">
        <v>605</v>
      </c>
      <c r="E829" s="369" t="s">
        <v>1112</v>
      </c>
      <c r="F829" s="369" t="s">
        <v>128</v>
      </c>
      <c r="G829" s="288">
        <v>16576.488000000001</v>
      </c>
      <c r="H829" s="288"/>
      <c r="I829" s="288">
        <v>16634.9483</v>
      </c>
      <c r="J829" s="288"/>
      <c r="K829" s="43">
        <f t="shared" si="266"/>
        <v>58.460299999998824</v>
      </c>
      <c r="L829" s="43">
        <f t="shared" si="267"/>
        <v>0</v>
      </c>
      <c r="M829" s="217">
        <f t="shared" si="270"/>
        <v>0</v>
      </c>
      <c r="N829" s="182"/>
      <c r="P829" s="166" t="e">
        <f>56318.7-P828</f>
        <v>#REF!</v>
      </c>
      <c r="Q829" s="166"/>
      <c r="R829" s="288">
        <v>14652.17146</v>
      </c>
      <c r="S829" s="288"/>
      <c r="T829" s="217">
        <f t="shared" si="283"/>
        <v>58.460299999998824</v>
      </c>
      <c r="U829" s="288">
        <v>6984.9179999999997</v>
      </c>
      <c r="V829" s="288">
        <v>0</v>
      </c>
      <c r="W829" s="203">
        <f t="shared" si="255"/>
        <v>-58.460299999998824</v>
      </c>
      <c r="X829" s="203">
        <f t="shared" si="256"/>
        <v>0</v>
      </c>
    </row>
    <row r="830" spans="1:24" s="307" customFormat="1" ht="37.5" hidden="1" customHeight="1" x14ac:dyDescent="0.2">
      <c r="A830" s="451" t="s">
        <v>938</v>
      </c>
      <c r="B830" s="306" t="s">
        <v>180</v>
      </c>
      <c r="C830" s="354" t="s">
        <v>8</v>
      </c>
      <c r="D830" s="354" t="s">
        <v>605</v>
      </c>
      <c r="E830" s="450" t="s">
        <v>852</v>
      </c>
      <c r="F830" s="450"/>
      <c r="G830" s="498">
        <f>G831+G832</f>
        <v>0</v>
      </c>
      <c r="H830" s="498">
        <f>H831+H832</f>
        <v>0</v>
      </c>
      <c r="I830" s="591">
        <f>I831+I832</f>
        <v>0</v>
      </c>
      <c r="J830" s="591">
        <f>J831+J832</f>
        <v>0</v>
      </c>
      <c r="K830" s="591">
        <f t="shared" si="266"/>
        <v>0</v>
      </c>
      <c r="L830" s="591">
        <f t="shared" si="267"/>
        <v>0</v>
      </c>
      <c r="M830" s="217">
        <f t="shared" si="270"/>
        <v>0</v>
      </c>
      <c r="N830" s="328">
        <f>N831+N832</f>
        <v>66985.7</v>
      </c>
      <c r="R830" s="591">
        <f>R831+R832</f>
        <v>0</v>
      </c>
      <c r="S830" s="591">
        <f>S831+S832</f>
        <v>0</v>
      </c>
      <c r="T830" s="309">
        <f t="shared" si="283"/>
        <v>0</v>
      </c>
      <c r="U830" s="498">
        <f>U831+U832</f>
        <v>0</v>
      </c>
      <c r="V830" s="498">
        <f>V831+V832</f>
        <v>0</v>
      </c>
      <c r="W830" s="310">
        <f t="shared" si="255"/>
        <v>0</v>
      </c>
      <c r="X830" s="310">
        <f t="shared" si="256"/>
        <v>0</v>
      </c>
    </row>
    <row r="831" spans="1:24" ht="37.5" hidden="1" customHeight="1" x14ac:dyDescent="0.2">
      <c r="A831" s="124" t="s">
        <v>648</v>
      </c>
      <c r="B831" s="243" t="s">
        <v>180</v>
      </c>
      <c r="C831" s="353" t="s">
        <v>8</v>
      </c>
      <c r="D831" s="353" t="s">
        <v>605</v>
      </c>
      <c r="E831" s="369" t="s">
        <v>852</v>
      </c>
      <c r="F831" s="369" t="s">
        <v>127</v>
      </c>
      <c r="G831" s="288"/>
      <c r="H831" s="288"/>
      <c r="I831" s="288"/>
      <c r="J831" s="288"/>
      <c r="K831" s="43">
        <f t="shared" si="266"/>
        <v>0</v>
      </c>
      <c r="L831" s="43">
        <f t="shared" si="267"/>
        <v>0</v>
      </c>
      <c r="M831" s="217">
        <f t="shared" si="270"/>
        <v>0</v>
      </c>
      <c r="N831" s="182">
        <v>51783.199999999997</v>
      </c>
      <c r="R831" s="288"/>
      <c r="S831" s="288"/>
      <c r="T831" s="217">
        <f t="shared" si="283"/>
        <v>0</v>
      </c>
      <c r="U831" s="288"/>
      <c r="V831" s="288"/>
      <c r="W831" s="203">
        <f t="shared" ref="W831:W916" si="285">G831-I831</f>
        <v>0</v>
      </c>
      <c r="X831" s="203">
        <f t="shared" ref="X831:X916" si="286">K831+W831</f>
        <v>0</v>
      </c>
    </row>
    <row r="832" spans="1:24" ht="39.75" hidden="1" customHeight="1" x14ac:dyDescent="0.2">
      <c r="A832" s="124" t="s">
        <v>646</v>
      </c>
      <c r="B832" s="243" t="s">
        <v>180</v>
      </c>
      <c r="C832" s="353" t="s">
        <v>8</v>
      </c>
      <c r="D832" s="353" t="s">
        <v>605</v>
      </c>
      <c r="E832" s="369" t="s">
        <v>852</v>
      </c>
      <c r="F832" s="369" t="s">
        <v>128</v>
      </c>
      <c r="G832" s="288"/>
      <c r="H832" s="288"/>
      <c r="I832" s="288"/>
      <c r="J832" s="288"/>
      <c r="K832" s="43">
        <f t="shared" si="266"/>
        <v>0</v>
      </c>
      <c r="L832" s="43">
        <f t="shared" si="267"/>
        <v>0</v>
      </c>
      <c r="M832" s="217">
        <f t="shared" si="270"/>
        <v>0</v>
      </c>
      <c r="N832" s="182">
        <v>15202.5</v>
      </c>
      <c r="R832" s="288"/>
      <c r="S832" s="288"/>
      <c r="T832" s="217">
        <f t="shared" si="283"/>
        <v>0</v>
      </c>
      <c r="U832" s="288"/>
      <c r="V832" s="288"/>
      <c r="W832" s="203">
        <f t="shared" si="285"/>
        <v>0</v>
      </c>
      <c r="X832" s="203">
        <f t="shared" si="286"/>
        <v>0</v>
      </c>
    </row>
    <row r="833" spans="1:24" s="307" customFormat="1" ht="39.75" hidden="1" customHeight="1" x14ac:dyDescent="0.2">
      <c r="A833" s="451" t="s">
        <v>1027</v>
      </c>
      <c r="B833" s="306" t="s">
        <v>180</v>
      </c>
      <c r="C833" s="354" t="s">
        <v>8</v>
      </c>
      <c r="D833" s="354" t="s">
        <v>605</v>
      </c>
      <c r="E833" s="450" t="s">
        <v>1028</v>
      </c>
      <c r="F833" s="450"/>
      <c r="G833" s="498">
        <f>G834+G835</f>
        <v>0</v>
      </c>
      <c r="H833" s="498">
        <f>H834+H835</f>
        <v>0</v>
      </c>
      <c r="I833" s="591">
        <f>I834+I835</f>
        <v>0</v>
      </c>
      <c r="J833" s="591">
        <f>J834+J835</f>
        <v>0</v>
      </c>
      <c r="K833" s="591">
        <f t="shared" si="266"/>
        <v>0</v>
      </c>
      <c r="L833" s="591">
        <f t="shared" si="267"/>
        <v>0</v>
      </c>
      <c r="M833" s="217">
        <f t="shared" si="270"/>
        <v>0</v>
      </c>
      <c r="N833" s="328"/>
      <c r="R833" s="591">
        <f>R834+R835</f>
        <v>0</v>
      </c>
      <c r="S833" s="591">
        <f>S834+S835</f>
        <v>0</v>
      </c>
      <c r="T833" s="309"/>
      <c r="U833" s="498">
        <f>U834+U835</f>
        <v>0</v>
      </c>
      <c r="V833" s="498">
        <f>V834+V835</f>
        <v>0</v>
      </c>
      <c r="W833" s="310">
        <f t="shared" si="285"/>
        <v>0</v>
      </c>
      <c r="X833" s="310">
        <f t="shared" si="286"/>
        <v>0</v>
      </c>
    </row>
    <row r="834" spans="1:24" ht="39.75" hidden="1" customHeight="1" x14ac:dyDescent="0.2">
      <c r="A834" s="124" t="s">
        <v>648</v>
      </c>
      <c r="B834" s="243" t="s">
        <v>180</v>
      </c>
      <c r="C834" s="353" t="s">
        <v>8</v>
      </c>
      <c r="D834" s="353" t="s">
        <v>605</v>
      </c>
      <c r="E834" s="369" t="s">
        <v>1028</v>
      </c>
      <c r="F834" s="369" t="s">
        <v>127</v>
      </c>
      <c r="G834" s="288"/>
      <c r="H834" s="288"/>
      <c r="I834" s="288"/>
      <c r="J834" s="288"/>
      <c r="K834" s="43">
        <f t="shared" si="266"/>
        <v>0</v>
      </c>
      <c r="L834" s="43">
        <f t="shared" si="267"/>
        <v>0</v>
      </c>
      <c r="M834" s="217">
        <f t="shared" si="270"/>
        <v>0</v>
      </c>
      <c r="N834" s="182"/>
      <c r="R834" s="288"/>
      <c r="S834" s="288"/>
      <c r="T834" s="217"/>
      <c r="U834" s="288"/>
      <c r="V834" s="288"/>
      <c r="W834" s="203">
        <f t="shared" si="285"/>
        <v>0</v>
      </c>
      <c r="X834" s="203">
        <f t="shared" si="286"/>
        <v>0</v>
      </c>
    </row>
    <row r="835" spans="1:24" ht="39.75" hidden="1" customHeight="1" x14ac:dyDescent="0.2">
      <c r="A835" s="124" t="s">
        <v>646</v>
      </c>
      <c r="B835" s="243" t="s">
        <v>180</v>
      </c>
      <c r="C835" s="353" t="s">
        <v>8</v>
      </c>
      <c r="D835" s="353" t="s">
        <v>605</v>
      </c>
      <c r="E835" s="369" t="s">
        <v>1028</v>
      </c>
      <c r="F835" s="369" t="s">
        <v>128</v>
      </c>
      <c r="G835" s="288"/>
      <c r="H835" s="288"/>
      <c r="I835" s="288"/>
      <c r="J835" s="288"/>
      <c r="K835" s="43">
        <f t="shared" si="266"/>
        <v>0</v>
      </c>
      <c r="L835" s="43">
        <f t="shared" si="267"/>
        <v>0</v>
      </c>
      <c r="M835" s="217">
        <f t="shared" si="270"/>
        <v>0</v>
      </c>
      <c r="N835" s="182"/>
      <c r="R835" s="288"/>
      <c r="S835" s="288"/>
      <c r="T835" s="217"/>
      <c r="U835" s="288"/>
      <c r="V835" s="288"/>
      <c r="W835" s="203">
        <f t="shared" si="285"/>
        <v>0</v>
      </c>
      <c r="X835" s="203">
        <f t="shared" si="286"/>
        <v>0</v>
      </c>
    </row>
    <row r="836" spans="1:24" s="307" customFormat="1" ht="28.5" hidden="1" customHeight="1" x14ac:dyDescent="0.2">
      <c r="A836" s="451" t="s">
        <v>1247</v>
      </c>
      <c r="B836" s="306" t="s">
        <v>180</v>
      </c>
      <c r="C836" s="354" t="s">
        <v>8</v>
      </c>
      <c r="D836" s="354" t="s">
        <v>605</v>
      </c>
      <c r="E836" s="450" t="s">
        <v>1112</v>
      </c>
      <c r="F836" s="450"/>
      <c r="G836" s="498">
        <f>G837+G838</f>
        <v>0</v>
      </c>
      <c r="H836" s="498">
        <f>H837+H838</f>
        <v>0</v>
      </c>
      <c r="I836" s="591">
        <f>I837+I838</f>
        <v>0</v>
      </c>
      <c r="J836" s="591">
        <f>J837+J838</f>
        <v>0</v>
      </c>
      <c r="K836" s="591">
        <f t="shared" si="266"/>
        <v>0</v>
      </c>
      <c r="L836" s="591">
        <f t="shared" si="267"/>
        <v>0</v>
      </c>
      <c r="M836" s="217">
        <f t="shared" si="270"/>
        <v>0</v>
      </c>
      <c r="N836" s="312">
        <f>N837</f>
        <v>0</v>
      </c>
      <c r="R836" s="591">
        <f>R837+R838</f>
        <v>0</v>
      </c>
      <c r="S836" s="591">
        <f>S837+S838</f>
        <v>0</v>
      </c>
      <c r="T836" s="309">
        <f t="shared" ref="T836:T843" si="287">I836-G836</f>
        <v>0</v>
      </c>
      <c r="U836" s="498">
        <f>U837+U838</f>
        <v>0</v>
      </c>
      <c r="V836" s="498">
        <f>V837+V838</f>
        <v>0</v>
      </c>
      <c r="W836" s="310">
        <f t="shared" si="285"/>
        <v>0</v>
      </c>
      <c r="X836" s="310">
        <f t="shared" si="286"/>
        <v>0</v>
      </c>
    </row>
    <row r="837" spans="1:24" ht="39.75" hidden="1" customHeight="1" x14ac:dyDescent="0.2">
      <c r="A837" s="124" t="s">
        <v>648</v>
      </c>
      <c r="B837" s="243" t="s">
        <v>180</v>
      </c>
      <c r="C837" s="353" t="s">
        <v>8</v>
      </c>
      <c r="D837" s="353" t="s">
        <v>605</v>
      </c>
      <c r="E837" s="369" t="s">
        <v>1112</v>
      </c>
      <c r="F837" s="369" t="s">
        <v>127</v>
      </c>
      <c r="G837" s="288"/>
      <c r="H837" s="288"/>
      <c r="I837" s="288"/>
      <c r="J837" s="288"/>
      <c r="K837" s="43">
        <f t="shared" si="266"/>
        <v>0</v>
      </c>
      <c r="L837" s="43">
        <f t="shared" si="267"/>
        <v>0</v>
      </c>
      <c r="M837" s="217">
        <f t="shared" si="270"/>
        <v>0</v>
      </c>
      <c r="N837" s="127">
        <f>N838</f>
        <v>0</v>
      </c>
      <c r="R837" s="288"/>
      <c r="S837" s="288"/>
      <c r="T837" s="217">
        <f t="shared" si="287"/>
        <v>0</v>
      </c>
      <c r="U837" s="288"/>
      <c r="V837" s="288"/>
      <c r="W837" s="203">
        <f t="shared" si="285"/>
        <v>0</v>
      </c>
      <c r="X837" s="203">
        <f t="shared" si="286"/>
        <v>0</v>
      </c>
    </row>
    <row r="838" spans="1:24" ht="40.5" hidden="1" customHeight="1" x14ac:dyDescent="0.2">
      <c r="A838" s="124" t="s">
        <v>646</v>
      </c>
      <c r="B838" s="243" t="s">
        <v>180</v>
      </c>
      <c r="C838" s="353" t="s">
        <v>8</v>
      </c>
      <c r="D838" s="353" t="s">
        <v>605</v>
      </c>
      <c r="E838" s="369" t="s">
        <v>1112</v>
      </c>
      <c r="F838" s="369" t="s">
        <v>128</v>
      </c>
      <c r="G838" s="288"/>
      <c r="H838" s="288"/>
      <c r="I838" s="288"/>
      <c r="J838" s="288"/>
      <c r="K838" s="43">
        <f t="shared" si="266"/>
        <v>0</v>
      </c>
      <c r="L838" s="43">
        <f t="shared" si="267"/>
        <v>0</v>
      </c>
      <c r="M838" s="217">
        <f t="shared" si="270"/>
        <v>0</v>
      </c>
      <c r="N838" s="144"/>
      <c r="R838" s="288"/>
      <c r="S838" s="288"/>
      <c r="T838" s="217">
        <f t="shared" si="287"/>
        <v>0</v>
      </c>
      <c r="U838" s="288"/>
      <c r="V838" s="288"/>
      <c r="W838" s="203">
        <f t="shared" si="285"/>
        <v>0</v>
      </c>
      <c r="X838" s="203">
        <f t="shared" si="286"/>
        <v>0</v>
      </c>
    </row>
    <row r="839" spans="1:24" s="307" customFormat="1" ht="15" hidden="1" x14ac:dyDescent="0.2">
      <c r="A839" s="451" t="s">
        <v>872</v>
      </c>
      <c r="B839" s="306" t="s">
        <v>180</v>
      </c>
      <c r="C839" s="354" t="s">
        <v>8</v>
      </c>
      <c r="D839" s="354" t="s">
        <v>605</v>
      </c>
      <c r="E839" s="450" t="s">
        <v>871</v>
      </c>
      <c r="F839" s="450"/>
      <c r="G839" s="498">
        <f>G840</f>
        <v>0</v>
      </c>
      <c r="H839" s="498">
        <f>H840</f>
        <v>0</v>
      </c>
      <c r="I839" s="591">
        <f>I840</f>
        <v>0</v>
      </c>
      <c r="J839" s="591">
        <f>J840</f>
        <v>0</v>
      </c>
      <c r="K839" s="591">
        <f t="shared" ref="K839:K911" si="288">I839-G839</f>
        <v>0</v>
      </c>
      <c r="L839" s="591">
        <f t="shared" ref="L839:L911" si="289">J839-H839</f>
        <v>0</v>
      </c>
      <c r="M839" s="217">
        <f t="shared" si="270"/>
        <v>0</v>
      </c>
      <c r="N839" s="292" t="e">
        <f>#REF!+#REF!</f>
        <v>#REF!</v>
      </c>
      <c r="R839" s="591">
        <f>R840</f>
        <v>0</v>
      </c>
      <c r="S839" s="591">
        <f>S840</f>
        <v>0</v>
      </c>
      <c r="T839" s="309">
        <f t="shared" si="287"/>
        <v>0</v>
      </c>
      <c r="U839" s="498">
        <f>U840</f>
        <v>0</v>
      </c>
      <c r="V839" s="498">
        <f>V840</f>
        <v>0</v>
      </c>
      <c r="W839" s="310">
        <f t="shared" si="285"/>
        <v>0</v>
      </c>
      <c r="X839" s="310">
        <f t="shared" si="286"/>
        <v>0</v>
      </c>
    </row>
    <row r="840" spans="1:24" ht="15" hidden="1" x14ac:dyDescent="0.2">
      <c r="A840" s="124" t="s">
        <v>126</v>
      </c>
      <c r="B840" s="243" t="s">
        <v>180</v>
      </c>
      <c r="C840" s="353" t="s">
        <v>8</v>
      </c>
      <c r="D840" s="353" t="s">
        <v>605</v>
      </c>
      <c r="E840" s="369" t="s">
        <v>871</v>
      </c>
      <c r="F840" s="369" t="s">
        <v>124</v>
      </c>
      <c r="G840" s="288"/>
      <c r="H840" s="288"/>
      <c r="I840" s="288"/>
      <c r="J840" s="288"/>
      <c r="K840" s="43">
        <f t="shared" si="288"/>
        <v>0</v>
      </c>
      <c r="L840" s="43">
        <f t="shared" si="289"/>
        <v>0</v>
      </c>
      <c r="M840" s="217">
        <f t="shared" si="270"/>
        <v>0</v>
      </c>
      <c r="N840" s="43"/>
      <c r="R840" s="288"/>
      <c r="S840" s="288"/>
      <c r="T840" s="217">
        <f t="shared" si="287"/>
        <v>0</v>
      </c>
      <c r="U840" s="288"/>
      <c r="V840" s="288"/>
      <c r="W840" s="203">
        <f t="shared" si="285"/>
        <v>0</v>
      </c>
      <c r="X840" s="203">
        <f t="shared" si="286"/>
        <v>0</v>
      </c>
    </row>
    <row r="841" spans="1:24" s="307" customFormat="1" ht="15" x14ac:dyDescent="0.2">
      <c r="A841" s="746" t="s">
        <v>1050</v>
      </c>
      <c r="B841" s="306" t="s">
        <v>180</v>
      </c>
      <c r="C841" s="354" t="s">
        <v>8</v>
      </c>
      <c r="D841" s="354" t="s">
        <v>605</v>
      </c>
      <c r="E841" s="719" t="s">
        <v>2014</v>
      </c>
      <c r="F841" s="450"/>
      <c r="G841" s="591">
        <f>G842+G843</f>
        <v>0</v>
      </c>
      <c r="H841" s="591">
        <f>H842+H843</f>
        <v>0</v>
      </c>
      <c r="I841" s="591">
        <f>I842+I843</f>
        <v>28688.91401</v>
      </c>
      <c r="J841" s="591">
        <f>J842+J843</f>
        <v>0</v>
      </c>
      <c r="K841" s="591">
        <f t="shared" si="288"/>
        <v>28688.91401</v>
      </c>
      <c r="L841" s="591">
        <f t="shared" si="289"/>
        <v>0</v>
      </c>
      <c r="M841" s="217">
        <f t="shared" si="270"/>
        <v>0</v>
      </c>
      <c r="N841" s="292">
        <f>N842</f>
        <v>0</v>
      </c>
      <c r="R841" s="591">
        <f>R842+R843</f>
        <v>0</v>
      </c>
      <c r="S841" s="591">
        <f>S842+S843</f>
        <v>0</v>
      </c>
      <c r="T841" s="309">
        <f t="shared" si="287"/>
        <v>28688.91401</v>
      </c>
      <c r="U841" s="498">
        <f>U842+U843</f>
        <v>14077.444</v>
      </c>
      <c r="V841" s="498">
        <f>V842+V843</f>
        <v>0</v>
      </c>
      <c r="W841" s="310">
        <f t="shared" si="285"/>
        <v>-28688.91401</v>
      </c>
      <c r="X841" s="310">
        <f t="shared" si="286"/>
        <v>0</v>
      </c>
    </row>
    <row r="842" spans="1:24" ht="25.5" x14ac:dyDescent="0.2">
      <c r="A842" s="739" t="s">
        <v>648</v>
      </c>
      <c r="B842" s="243" t="s">
        <v>180</v>
      </c>
      <c r="C842" s="353" t="s">
        <v>8</v>
      </c>
      <c r="D842" s="353" t="s">
        <v>605</v>
      </c>
      <c r="E842" s="386" t="s">
        <v>2014</v>
      </c>
      <c r="F842" s="369" t="s">
        <v>127</v>
      </c>
      <c r="G842" s="288"/>
      <c r="H842" s="288"/>
      <c r="I842" s="288">
        <v>15290.171200000001</v>
      </c>
      <c r="J842" s="288"/>
      <c r="K842" s="43">
        <f t="shared" si="288"/>
        <v>15290.171200000001</v>
      </c>
      <c r="L842" s="43">
        <f t="shared" si="289"/>
        <v>0</v>
      </c>
      <c r="M842" s="217">
        <f t="shared" si="270"/>
        <v>0</v>
      </c>
      <c r="N842" s="43"/>
      <c r="R842" s="288"/>
      <c r="S842" s="288"/>
      <c r="T842" s="217">
        <f t="shared" si="287"/>
        <v>15290.171200000001</v>
      </c>
      <c r="U842" s="288">
        <v>8342.9140000000007</v>
      </c>
      <c r="V842" s="288"/>
      <c r="W842" s="203">
        <f t="shared" si="285"/>
        <v>-15290.171200000001</v>
      </c>
      <c r="X842" s="203">
        <f t="shared" si="286"/>
        <v>0</v>
      </c>
    </row>
    <row r="843" spans="1:24" ht="25.5" x14ac:dyDescent="0.2">
      <c r="A843" s="739" t="s">
        <v>646</v>
      </c>
      <c r="B843" s="243" t="s">
        <v>180</v>
      </c>
      <c r="C843" s="353" t="s">
        <v>8</v>
      </c>
      <c r="D843" s="353" t="s">
        <v>605</v>
      </c>
      <c r="E843" s="386" t="s">
        <v>2014</v>
      </c>
      <c r="F843" s="369" t="s">
        <v>128</v>
      </c>
      <c r="G843" s="288"/>
      <c r="H843" s="288"/>
      <c r="I843" s="288">
        <v>13398.74281</v>
      </c>
      <c r="J843" s="288"/>
      <c r="K843" s="43">
        <f t="shared" si="288"/>
        <v>13398.74281</v>
      </c>
      <c r="L843" s="43">
        <f t="shared" si="289"/>
        <v>0</v>
      </c>
      <c r="M843" s="217">
        <f t="shared" si="270"/>
        <v>0</v>
      </c>
      <c r="N843" s="43">
        <v>0</v>
      </c>
      <c r="R843" s="288"/>
      <c r="S843" s="288"/>
      <c r="T843" s="217">
        <f t="shared" si="287"/>
        <v>13398.74281</v>
      </c>
      <c r="U843" s="288">
        <v>5734.53</v>
      </c>
      <c r="V843" s="288"/>
      <c r="W843" s="203">
        <f t="shared" si="285"/>
        <v>-13398.74281</v>
      </c>
      <c r="X843" s="203">
        <f t="shared" si="286"/>
        <v>0</v>
      </c>
    </row>
    <row r="844" spans="1:24" ht="25.5" x14ac:dyDescent="0.2">
      <c r="A844" s="741" t="s">
        <v>1503</v>
      </c>
      <c r="B844" s="388" t="s">
        <v>180</v>
      </c>
      <c r="C844" s="389" t="s">
        <v>8</v>
      </c>
      <c r="D844" s="389" t="s">
        <v>605</v>
      </c>
      <c r="E844" s="515">
        <v>7810200000</v>
      </c>
      <c r="F844" s="390"/>
      <c r="G844" s="391">
        <f>G845</f>
        <v>3593.7</v>
      </c>
      <c r="H844" s="391">
        <f t="shared" ref="H844:L845" si="290">H845</f>
        <v>0</v>
      </c>
      <c r="I844" s="391">
        <f t="shared" si="290"/>
        <v>3593.7</v>
      </c>
      <c r="J844" s="391">
        <f t="shared" si="290"/>
        <v>0</v>
      </c>
      <c r="K844" s="391">
        <f t="shared" si="290"/>
        <v>0</v>
      </c>
      <c r="L844" s="391">
        <f t="shared" si="290"/>
        <v>0</v>
      </c>
      <c r="M844" s="217"/>
      <c r="N844" s="43"/>
      <c r="R844" s="288"/>
      <c r="S844" s="288"/>
      <c r="T844" s="217"/>
      <c r="U844" s="288"/>
      <c r="V844" s="288"/>
      <c r="W844" s="203"/>
      <c r="X844" s="203"/>
    </row>
    <row r="845" spans="1:24" ht="25.5" x14ac:dyDescent="0.2">
      <c r="A845" s="741" t="s">
        <v>1907</v>
      </c>
      <c r="B845" s="388" t="s">
        <v>180</v>
      </c>
      <c r="C845" s="389" t="s">
        <v>8</v>
      </c>
      <c r="D845" s="389" t="s">
        <v>605</v>
      </c>
      <c r="E845" s="515">
        <v>7810274350</v>
      </c>
      <c r="F845" s="390"/>
      <c r="G845" s="391">
        <f>G846</f>
        <v>3593.7</v>
      </c>
      <c r="H845" s="391">
        <f t="shared" si="290"/>
        <v>0</v>
      </c>
      <c r="I845" s="391">
        <f t="shared" si="290"/>
        <v>3593.7</v>
      </c>
      <c r="J845" s="391">
        <f t="shared" si="290"/>
        <v>0</v>
      </c>
      <c r="K845" s="391">
        <f t="shared" si="290"/>
        <v>0</v>
      </c>
      <c r="L845" s="391">
        <f t="shared" si="290"/>
        <v>0</v>
      </c>
      <c r="M845" s="217"/>
      <c r="N845" s="43"/>
      <c r="R845" s="288"/>
      <c r="S845" s="288"/>
      <c r="T845" s="217"/>
      <c r="U845" s="288"/>
      <c r="V845" s="288"/>
      <c r="W845" s="203"/>
      <c r="X845" s="203"/>
    </row>
    <row r="846" spans="1:24" ht="15" x14ac:dyDescent="0.2">
      <c r="A846" s="744" t="s">
        <v>126</v>
      </c>
      <c r="B846" s="243" t="s">
        <v>180</v>
      </c>
      <c r="C846" s="353" t="s">
        <v>8</v>
      </c>
      <c r="D846" s="353" t="s">
        <v>605</v>
      </c>
      <c r="E846" s="386">
        <v>7810274350</v>
      </c>
      <c r="F846" s="369">
        <v>622</v>
      </c>
      <c r="G846" s="288">
        <v>3593.7</v>
      </c>
      <c r="H846" s="288"/>
      <c r="I846" s="288">
        <v>3593.7</v>
      </c>
      <c r="J846" s="288"/>
      <c r="K846" s="43">
        <f>I846-G846</f>
        <v>0</v>
      </c>
      <c r="L846" s="43">
        <f>J846-H846</f>
        <v>0</v>
      </c>
      <c r="M846" s="217"/>
      <c r="N846" s="43"/>
      <c r="R846" s="288"/>
      <c r="S846" s="288"/>
      <c r="T846" s="217"/>
      <c r="U846" s="288"/>
      <c r="V846" s="288"/>
      <c r="W846" s="203"/>
      <c r="X846" s="203"/>
    </row>
    <row r="847" spans="1:24" ht="15" hidden="1" x14ac:dyDescent="0.2">
      <c r="A847" s="451" t="s">
        <v>724</v>
      </c>
      <c r="B847" s="306" t="s">
        <v>180</v>
      </c>
      <c r="C847" s="354" t="s">
        <v>8</v>
      </c>
      <c r="D847" s="354" t="s">
        <v>605</v>
      </c>
      <c r="E847" s="450" t="s">
        <v>720</v>
      </c>
      <c r="F847" s="450"/>
      <c r="G847" s="498">
        <f t="shared" ref="G847:J848" si="291">G848</f>
        <v>0</v>
      </c>
      <c r="H847" s="498">
        <f t="shared" si="291"/>
        <v>0</v>
      </c>
      <c r="I847" s="591">
        <f t="shared" si="291"/>
        <v>0</v>
      </c>
      <c r="J847" s="591">
        <f t="shared" si="291"/>
        <v>0</v>
      </c>
      <c r="K847" s="591">
        <f t="shared" si="288"/>
        <v>0</v>
      </c>
      <c r="L847" s="591">
        <f t="shared" si="289"/>
        <v>0</v>
      </c>
      <c r="M847" s="217">
        <f t="shared" si="270"/>
        <v>0</v>
      </c>
      <c r="N847" s="43"/>
      <c r="R847" s="591">
        <f>R848</f>
        <v>0</v>
      </c>
      <c r="S847" s="591">
        <f>S848</f>
        <v>0</v>
      </c>
      <c r="T847" s="217"/>
      <c r="U847" s="498">
        <f>U848</f>
        <v>0</v>
      </c>
      <c r="V847" s="498">
        <f>V848</f>
        <v>0</v>
      </c>
      <c r="W847" s="203">
        <f t="shared" si="285"/>
        <v>0</v>
      </c>
      <c r="X847" s="203">
        <f t="shared" si="286"/>
        <v>0</v>
      </c>
    </row>
    <row r="848" spans="1:24" ht="25.5" hidden="1" x14ac:dyDescent="0.2">
      <c r="A848" s="451" t="s">
        <v>725</v>
      </c>
      <c r="B848" s="306" t="s">
        <v>180</v>
      </c>
      <c r="C848" s="354" t="s">
        <v>8</v>
      </c>
      <c r="D848" s="354" t="s">
        <v>605</v>
      </c>
      <c r="E848" s="450" t="s">
        <v>721</v>
      </c>
      <c r="F848" s="450"/>
      <c r="G848" s="498">
        <f t="shared" si="291"/>
        <v>0</v>
      </c>
      <c r="H848" s="498">
        <f t="shared" si="291"/>
        <v>0</v>
      </c>
      <c r="I848" s="591">
        <f t="shared" si="291"/>
        <v>0</v>
      </c>
      <c r="J848" s="591">
        <f t="shared" si="291"/>
        <v>0</v>
      </c>
      <c r="K848" s="591">
        <f t="shared" si="288"/>
        <v>0</v>
      </c>
      <c r="L848" s="591">
        <f t="shared" si="289"/>
        <v>0</v>
      </c>
      <c r="M848" s="217">
        <f t="shared" si="270"/>
        <v>0</v>
      </c>
      <c r="N848" s="43"/>
      <c r="R848" s="591">
        <f>R849</f>
        <v>0</v>
      </c>
      <c r="S848" s="591">
        <f>S849</f>
        <v>0</v>
      </c>
      <c r="T848" s="217"/>
      <c r="U848" s="498">
        <f>U849</f>
        <v>0</v>
      </c>
      <c r="V848" s="498">
        <f>V849</f>
        <v>0</v>
      </c>
      <c r="W848" s="203">
        <f t="shared" si="285"/>
        <v>0</v>
      </c>
      <c r="X848" s="203">
        <f t="shared" si="286"/>
        <v>0</v>
      </c>
    </row>
    <row r="849" spans="1:24" ht="15" hidden="1" x14ac:dyDescent="0.2">
      <c r="A849" s="451" t="s">
        <v>1071</v>
      </c>
      <c r="B849" s="306" t="s">
        <v>180</v>
      </c>
      <c r="C849" s="354" t="s">
        <v>8</v>
      </c>
      <c r="D849" s="354" t="s">
        <v>605</v>
      </c>
      <c r="E849" s="450" t="s">
        <v>722</v>
      </c>
      <c r="F849" s="450"/>
      <c r="G849" s="498">
        <f>G850+G851</f>
        <v>0</v>
      </c>
      <c r="H849" s="498">
        <f>H850+H851</f>
        <v>0</v>
      </c>
      <c r="I849" s="591">
        <f>I850+I851</f>
        <v>0</v>
      </c>
      <c r="J849" s="591">
        <f>J850+J851</f>
        <v>0</v>
      </c>
      <c r="K849" s="591">
        <f t="shared" si="288"/>
        <v>0</v>
      </c>
      <c r="L849" s="591">
        <f t="shared" si="289"/>
        <v>0</v>
      </c>
      <c r="M849" s="217">
        <f t="shared" si="270"/>
        <v>0</v>
      </c>
      <c r="N849" s="43"/>
      <c r="R849" s="591">
        <f>R850+R851</f>
        <v>0</v>
      </c>
      <c r="S849" s="591">
        <f>S850+S851</f>
        <v>0</v>
      </c>
      <c r="T849" s="217"/>
      <c r="U849" s="498">
        <f>U850+U851</f>
        <v>0</v>
      </c>
      <c r="V849" s="498">
        <f>V850+V851</f>
        <v>0</v>
      </c>
      <c r="W849" s="203">
        <f t="shared" si="285"/>
        <v>0</v>
      </c>
      <c r="X849" s="203">
        <f t="shared" si="286"/>
        <v>0</v>
      </c>
    </row>
    <row r="850" spans="1:24" ht="15" hidden="1" x14ac:dyDescent="0.2">
      <c r="A850" s="124" t="s">
        <v>125</v>
      </c>
      <c r="B850" s="243" t="s">
        <v>180</v>
      </c>
      <c r="C850" s="353" t="s">
        <v>8</v>
      </c>
      <c r="D850" s="353" t="s">
        <v>605</v>
      </c>
      <c r="E850" s="369" t="s">
        <v>722</v>
      </c>
      <c r="F850" s="369" t="s">
        <v>123</v>
      </c>
      <c r="G850" s="288"/>
      <c r="H850" s="288">
        <v>0</v>
      </c>
      <c r="I850" s="288"/>
      <c r="J850" s="288">
        <v>0</v>
      </c>
      <c r="K850" s="43">
        <f t="shared" si="288"/>
        <v>0</v>
      </c>
      <c r="L850" s="43">
        <f t="shared" si="289"/>
        <v>0</v>
      </c>
      <c r="M850" s="217">
        <f t="shared" si="270"/>
        <v>0</v>
      </c>
      <c r="N850" s="43"/>
      <c r="R850" s="288"/>
      <c r="S850" s="288">
        <v>0</v>
      </c>
      <c r="T850" s="217"/>
      <c r="U850" s="288"/>
      <c r="V850" s="288">
        <v>0</v>
      </c>
      <c r="W850" s="203">
        <f t="shared" si="285"/>
        <v>0</v>
      </c>
      <c r="X850" s="203">
        <f t="shared" si="286"/>
        <v>0</v>
      </c>
    </row>
    <row r="851" spans="1:24" ht="15" hidden="1" x14ac:dyDescent="0.2">
      <c r="A851" s="124" t="s">
        <v>126</v>
      </c>
      <c r="B851" s="243" t="s">
        <v>180</v>
      </c>
      <c r="C851" s="353" t="s">
        <v>8</v>
      </c>
      <c r="D851" s="353" t="s">
        <v>605</v>
      </c>
      <c r="E851" s="369" t="s">
        <v>722</v>
      </c>
      <c r="F851" s="369">
        <v>622</v>
      </c>
      <c r="G851" s="288"/>
      <c r="H851" s="288"/>
      <c r="I851" s="288"/>
      <c r="J851" s="288"/>
      <c r="K851" s="43">
        <f t="shared" si="288"/>
        <v>0</v>
      </c>
      <c r="L851" s="43">
        <f t="shared" si="289"/>
        <v>0</v>
      </c>
      <c r="M851" s="217">
        <f t="shared" si="270"/>
        <v>0</v>
      </c>
      <c r="N851" s="43"/>
      <c r="R851" s="288"/>
      <c r="S851" s="288"/>
      <c r="T851" s="217"/>
      <c r="U851" s="288"/>
      <c r="V851" s="288"/>
      <c r="W851" s="203"/>
      <c r="X851" s="203"/>
    </row>
    <row r="852" spans="1:24" ht="25.5" x14ac:dyDescent="0.2">
      <c r="A852" s="742" t="s">
        <v>1536</v>
      </c>
      <c r="B852" s="388" t="s">
        <v>180</v>
      </c>
      <c r="C852" s="389" t="s">
        <v>8</v>
      </c>
      <c r="D852" s="389" t="s">
        <v>605</v>
      </c>
      <c r="E852" s="515" t="s">
        <v>1505</v>
      </c>
      <c r="F852" s="390"/>
      <c r="G852" s="391">
        <f>G853</f>
        <v>0</v>
      </c>
      <c r="H852" s="391">
        <f t="shared" ref="H852:L854" si="292">H853</f>
        <v>0</v>
      </c>
      <c r="I852" s="391">
        <f t="shared" si="292"/>
        <v>30</v>
      </c>
      <c r="J852" s="391">
        <f t="shared" si="292"/>
        <v>0</v>
      </c>
      <c r="K852" s="391">
        <f t="shared" si="292"/>
        <v>30</v>
      </c>
      <c r="L852" s="391">
        <f t="shared" si="292"/>
        <v>0</v>
      </c>
      <c r="M852" s="217"/>
      <c r="N852" s="43"/>
      <c r="R852" s="288"/>
      <c r="S852" s="288"/>
      <c r="T852" s="217"/>
      <c r="U852" s="288"/>
      <c r="V852" s="288"/>
      <c r="W852" s="203"/>
      <c r="X852" s="203"/>
    </row>
    <row r="853" spans="1:24" ht="15" x14ac:dyDescent="0.2">
      <c r="A853" s="742" t="s">
        <v>1540</v>
      </c>
      <c r="B853" s="388" t="s">
        <v>180</v>
      </c>
      <c r="C853" s="389" t="s">
        <v>8</v>
      </c>
      <c r="D853" s="389" t="s">
        <v>605</v>
      </c>
      <c r="E853" s="515" t="s">
        <v>1533</v>
      </c>
      <c r="F853" s="390"/>
      <c r="G853" s="391">
        <f>G854</f>
        <v>0</v>
      </c>
      <c r="H853" s="391">
        <f t="shared" si="292"/>
        <v>0</v>
      </c>
      <c r="I853" s="391">
        <f t="shared" si="292"/>
        <v>30</v>
      </c>
      <c r="J853" s="391">
        <f t="shared" si="292"/>
        <v>0</v>
      </c>
      <c r="K853" s="391">
        <f t="shared" si="292"/>
        <v>30</v>
      </c>
      <c r="L853" s="391">
        <f t="shared" si="292"/>
        <v>0</v>
      </c>
      <c r="M853" s="217"/>
      <c r="N853" s="43"/>
      <c r="R853" s="288"/>
      <c r="S853" s="288"/>
      <c r="T853" s="217"/>
      <c r="U853" s="288"/>
      <c r="V853" s="288"/>
      <c r="W853" s="203"/>
      <c r="X853" s="203"/>
    </row>
    <row r="854" spans="1:24" ht="15" x14ac:dyDescent="0.2">
      <c r="A854" s="742" t="s">
        <v>2015</v>
      </c>
      <c r="B854" s="388" t="s">
        <v>180</v>
      </c>
      <c r="C854" s="389" t="s">
        <v>8</v>
      </c>
      <c r="D854" s="389" t="s">
        <v>605</v>
      </c>
      <c r="E854" s="515" t="s">
        <v>1660</v>
      </c>
      <c r="F854" s="390"/>
      <c r="G854" s="391">
        <f>G855</f>
        <v>0</v>
      </c>
      <c r="H854" s="391">
        <f t="shared" si="292"/>
        <v>0</v>
      </c>
      <c r="I854" s="391">
        <f t="shared" si="292"/>
        <v>30</v>
      </c>
      <c r="J854" s="391">
        <f t="shared" si="292"/>
        <v>0</v>
      </c>
      <c r="K854" s="391">
        <f t="shared" si="292"/>
        <v>30</v>
      </c>
      <c r="L854" s="391">
        <f t="shared" si="292"/>
        <v>0</v>
      </c>
      <c r="M854" s="217"/>
      <c r="N854" s="43"/>
      <c r="R854" s="288"/>
      <c r="S854" s="288"/>
      <c r="T854" s="217"/>
      <c r="U854" s="288"/>
      <c r="V854" s="288"/>
      <c r="W854" s="203"/>
      <c r="X854" s="203"/>
    </row>
    <row r="855" spans="1:24" ht="25.5" x14ac:dyDescent="0.2">
      <c r="A855" s="739" t="s">
        <v>1583</v>
      </c>
      <c r="B855" s="243" t="s">
        <v>180</v>
      </c>
      <c r="C855" s="353" t="s">
        <v>8</v>
      </c>
      <c r="D855" s="353" t="s">
        <v>605</v>
      </c>
      <c r="E855" s="369" t="s">
        <v>1660</v>
      </c>
      <c r="F855" s="369">
        <v>621</v>
      </c>
      <c r="G855" s="288"/>
      <c r="H855" s="288"/>
      <c r="I855" s="288">
        <v>30</v>
      </c>
      <c r="J855" s="288"/>
      <c r="K855" s="43">
        <f t="shared" ref="K855" si="293">I855-G855</f>
        <v>30</v>
      </c>
      <c r="L855" s="43">
        <f t="shared" ref="L855" si="294">J855-H855</f>
        <v>0</v>
      </c>
      <c r="M855" s="217"/>
      <c r="N855" s="43"/>
      <c r="R855" s="288"/>
      <c r="S855" s="288"/>
      <c r="T855" s="217"/>
      <c r="U855" s="288"/>
      <c r="V855" s="288"/>
      <c r="W855" s="203"/>
      <c r="X855" s="203"/>
    </row>
    <row r="856" spans="1:24" ht="25.5" x14ac:dyDescent="0.2">
      <c r="A856" s="741" t="s">
        <v>1205</v>
      </c>
      <c r="B856" s="388" t="s">
        <v>180</v>
      </c>
      <c r="C856" s="389" t="s">
        <v>8</v>
      </c>
      <c r="D856" s="389" t="s">
        <v>605</v>
      </c>
      <c r="E856" s="390">
        <v>8900000000</v>
      </c>
      <c r="F856" s="390"/>
      <c r="G856" s="391">
        <f>G857</f>
        <v>39112.052210000002</v>
      </c>
      <c r="H856" s="391">
        <f>H857</f>
        <v>20622.8</v>
      </c>
      <c r="I856" s="391">
        <f>I857</f>
        <v>39112.052210000002</v>
      </c>
      <c r="J856" s="391">
        <f>J857</f>
        <v>20622.8</v>
      </c>
      <c r="K856" s="391">
        <f t="shared" si="288"/>
        <v>0</v>
      </c>
      <c r="L856" s="391">
        <f t="shared" si="289"/>
        <v>0</v>
      </c>
      <c r="M856" s="217"/>
      <c r="N856" s="43"/>
      <c r="R856" s="391">
        <f t="shared" ref="R856:S858" si="295">R857</f>
        <v>51280.07</v>
      </c>
      <c r="S856" s="391">
        <f t="shared" si="295"/>
        <v>47539.8</v>
      </c>
      <c r="T856" s="217"/>
      <c r="U856" s="288"/>
      <c r="V856" s="288"/>
      <c r="W856" s="203"/>
      <c r="X856" s="203"/>
    </row>
    <row r="857" spans="1:24" ht="15" x14ac:dyDescent="0.2">
      <c r="A857" s="741" t="s">
        <v>1284</v>
      </c>
      <c r="B857" s="388" t="s">
        <v>180</v>
      </c>
      <c r="C857" s="389" t="s">
        <v>8</v>
      </c>
      <c r="D857" s="389" t="s">
        <v>605</v>
      </c>
      <c r="E857" s="390">
        <v>8900500000</v>
      </c>
      <c r="F857" s="390"/>
      <c r="G857" s="391">
        <f>G858+G861</f>
        <v>39112.052210000002</v>
      </c>
      <c r="H857" s="391">
        <f>H858+H861</f>
        <v>20622.8</v>
      </c>
      <c r="I857" s="391">
        <f>I858+I861</f>
        <v>39112.052210000002</v>
      </c>
      <c r="J857" s="391">
        <f>J858+J861</f>
        <v>20622.8</v>
      </c>
      <c r="K857" s="391">
        <f t="shared" si="288"/>
        <v>0</v>
      </c>
      <c r="L857" s="391">
        <f t="shared" si="289"/>
        <v>0</v>
      </c>
      <c r="M857" s="217"/>
      <c r="N857" s="43"/>
      <c r="R857" s="391">
        <f>R858+R861</f>
        <v>51280.07</v>
      </c>
      <c r="S857" s="391">
        <f>S858+S861</f>
        <v>47539.8</v>
      </c>
      <c r="T857" s="217"/>
      <c r="U857" s="288"/>
      <c r="V857" s="288"/>
      <c r="W857" s="203"/>
      <c r="X857" s="203"/>
    </row>
    <row r="858" spans="1:24" ht="15" x14ac:dyDescent="0.2">
      <c r="A858" s="741" t="s">
        <v>1777</v>
      </c>
      <c r="B858" s="388" t="s">
        <v>180</v>
      </c>
      <c r="C858" s="389" t="s">
        <v>8</v>
      </c>
      <c r="D858" s="389" t="s">
        <v>605</v>
      </c>
      <c r="E858" s="515" t="s">
        <v>1286</v>
      </c>
      <c r="F858" s="390"/>
      <c r="G858" s="391">
        <f>G859+G860</f>
        <v>21149.52</v>
      </c>
      <c r="H858" s="391">
        <f>H859+H860</f>
        <v>20622.8</v>
      </c>
      <c r="I858" s="391">
        <f>I859+I860</f>
        <v>21149.52</v>
      </c>
      <c r="J858" s="391">
        <f>J859+J860</f>
        <v>20622.8</v>
      </c>
      <c r="K858" s="391">
        <f t="shared" si="288"/>
        <v>0</v>
      </c>
      <c r="L858" s="391">
        <f t="shared" si="289"/>
        <v>0</v>
      </c>
      <c r="M858" s="217"/>
      <c r="N858" s="43"/>
      <c r="R858" s="391">
        <f t="shared" si="295"/>
        <v>49500</v>
      </c>
      <c r="S858" s="391">
        <f t="shared" si="295"/>
        <v>47539.8</v>
      </c>
      <c r="T858" s="217"/>
      <c r="U858" s="288"/>
      <c r="V858" s="288"/>
      <c r="W858" s="203"/>
      <c r="X858" s="203"/>
    </row>
    <row r="859" spans="1:24" ht="27.75" hidden="1" customHeight="1" x14ac:dyDescent="0.2">
      <c r="A859" s="186" t="s">
        <v>1199</v>
      </c>
      <c r="B859" s="243" t="s">
        <v>180</v>
      </c>
      <c r="C859" s="353" t="s">
        <v>8</v>
      </c>
      <c r="D859" s="353" t="s">
        <v>605</v>
      </c>
      <c r="E859" s="369" t="s">
        <v>1286</v>
      </c>
      <c r="F859" s="369">
        <v>465</v>
      </c>
      <c r="G859" s="288"/>
      <c r="H859" s="654"/>
      <c r="I859" s="288"/>
      <c r="J859" s="654"/>
      <c r="K859" s="43">
        <f t="shared" si="288"/>
        <v>0</v>
      </c>
      <c r="L859" s="43">
        <f t="shared" si="289"/>
        <v>0</v>
      </c>
      <c r="M859" s="217"/>
      <c r="N859" s="43"/>
      <c r="R859" s="288">
        <v>49500</v>
      </c>
      <c r="S859" s="288">
        <v>47539.8</v>
      </c>
      <c r="T859" s="217"/>
      <c r="U859" s="288"/>
      <c r="V859" s="288"/>
      <c r="W859" s="203"/>
      <c r="X859" s="203"/>
    </row>
    <row r="860" spans="1:24" ht="15" x14ac:dyDescent="0.2">
      <c r="A860" s="739" t="s">
        <v>126</v>
      </c>
      <c r="B860" s="243" t="s">
        <v>180</v>
      </c>
      <c r="C860" s="353" t="s">
        <v>8</v>
      </c>
      <c r="D860" s="353" t="s">
        <v>605</v>
      </c>
      <c r="E860" s="369" t="s">
        <v>1286</v>
      </c>
      <c r="F860" s="369">
        <v>622</v>
      </c>
      <c r="G860" s="288">
        <v>21149.52</v>
      </c>
      <c r="H860" s="654">
        <v>20622.8</v>
      </c>
      <c r="I860" s="288">
        <v>21149.52</v>
      </c>
      <c r="J860" s="654">
        <v>20622.8</v>
      </c>
      <c r="K860" s="43">
        <f t="shared" si="288"/>
        <v>0</v>
      </c>
      <c r="L860" s="43">
        <f t="shared" si="289"/>
        <v>0</v>
      </c>
      <c r="M860" s="217"/>
      <c r="N860" s="43"/>
      <c r="R860" s="288"/>
      <c r="S860" s="288"/>
      <c r="T860" s="217"/>
      <c r="U860" s="288"/>
      <c r="V860" s="288"/>
      <c r="W860" s="203"/>
      <c r="X860" s="203"/>
    </row>
    <row r="861" spans="1:24" ht="15" x14ac:dyDescent="0.2">
      <c r="A861" s="741" t="s">
        <v>1940</v>
      </c>
      <c r="B861" s="388" t="s">
        <v>180</v>
      </c>
      <c r="C861" s="389" t="s">
        <v>8</v>
      </c>
      <c r="D861" s="389" t="s">
        <v>605</v>
      </c>
      <c r="E861" s="515" t="s">
        <v>1939</v>
      </c>
      <c r="F861" s="390"/>
      <c r="G861" s="391">
        <f>G862</f>
        <v>17962.532210000001</v>
      </c>
      <c r="H861" s="391">
        <f>H862</f>
        <v>0</v>
      </c>
      <c r="I861" s="391">
        <f>I862</f>
        <v>17962.532210000001</v>
      </c>
      <c r="J861" s="391">
        <f>J862</f>
        <v>0</v>
      </c>
      <c r="K861" s="391">
        <f t="shared" si="288"/>
        <v>0</v>
      </c>
      <c r="L861" s="391">
        <f t="shared" si="289"/>
        <v>0</v>
      </c>
      <c r="M861" s="217"/>
      <c r="N861" s="43"/>
      <c r="R861" s="391">
        <f>R862</f>
        <v>1780.07</v>
      </c>
      <c r="S861" s="391">
        <f>S862</f>
        <v>0</v>
      </c>
      <c r="T861" s="217"/>
      <c r="U861" s="288"/>
      <c r="V861" s="288"/>
      <c r="W861" s="203"/>
      <c r="X861" s="203"/>
    </row>
    <row r="862" spans="1:24" ht="27.75" customHeight="1" x14ac:dyDescent="0.2">
      <c r="A862" s="744" t="s">
        <v>1199</v>
      </c>
      <c r="B862" s="243" t="s">
        <v>180</v>
      </c>
      <c r="C862" s="353" t="s">
        <v>8</v>
      </c>
      <c r="D862" s="353" t="s">
        <v>605</v>
      </c>
      <c r="E862" s="386" t="s">
        <v>1939</v>
      </c>
      <c r="F862" s="369">
        <v>465</v>
      </c>
      <c r="G862" s="288">
        <v>17962.532210000001</v>
      </c>
      <c r="H862" s="288"/>
      <c r="I862" s="288">
        <v>17962.532210000001</v>
      </c>
      <c r="J862" s="288"/>
      <c r="K862" s="43">
        <f t="shared" si="288"/>
        <v>0</v>
      </c>
      <c r="L862" s="43">
        <f t="shared" si="289"/>
        <v>0</v>
      </c>
      <c r="M862" s="217"/>
      <c r="N862" s="43"/>
      <c r="R862" s="288">
        <v>1780.07</v>
      </c>
      <c r="S862" s="288"/>
      <c r="T862" s="217"/>
      <c r="U862" s="288"/>
      <c r="V862" s="288"/>
      <c r="W862" s="203"/>
      <c r="X862" s="203"/>
    </row>
    <row r="863" spans="1:24" s="164" customFormat="1" ht="15" x14ac:dyDescent="0.2">
      <c r="A863" s="746" t="s">
        <v>65</v>
      </c>
      <c r="B863" s="306" t="s">
        <v>180</v>
      </c>
      <c r="C863" s="354" t="s">
        <v>8</v>
      </c>
      <c r="D863" s="354" t="s">
        <v>605</v>
      </c>
      <c r="E863" s="450" t="s">
        <v>312</v>
      </c>
      <c r="F863" s="450"/>
      <c r="G863" s="591">
        <f>G879+G864+G868+G871+G873+G882+G875+G877+G866</f>
        <v>801</v>
      </c>
      <c r="H863" s="591">
        <f t="shared" ref="H863:L863" si="296">H879+H864+H868+H871+H873+H882+H875+H877+H866</f>
        <v>0</v>
      </c>
      <c r="I863" s="591">
        <f t="shared" si="296"/>
        <v>901</v>
      </c>
      <c r="J863" s="591">
        <f t="shared" si="296"/>
        <v>0</v>
      </c>
      <c r="K863" s="591">
        <f t="shared" si="296"/>
        <v>100</v>
      </c>
      <c r="L863" s="591">
        <f t="shared" si="296"/>
        <v>0</v>
      </c>
      <c r="M863" s="217">
        <f t="shared" ref="M863:M935" si="297">I863-G863-K863</f>
        <v>0</v>
      </c>
      <c r="N863" s="264"/>
      <c r="O863" s="283"/>
      <c r="R863" s="591">
        <f>R879+R864+R868+R871+R873+R882+R875+R877</f>
        <v>2947.4828000000002</v>
      </c>
      <c r="S863" s="591">
        <f>S879+S864+S868+S871+S873+S882+S875+S877</f>
        <v>0</v>
      </c>
      <c r="T863" s="365">
        <f t="shared" ref="T863:T870" si="298">I863-G863</f>
        <v>100</v>
      </c>
      <c r="U863" s="498">
        <f>U879+U864+U868+U871+U873+U882+U875+U877</f>
        <v>120</v>
      </c>
      <c r="V863" s="498">
        <f>V879+V864+V868+V871+V873+V882+V875+V877</f>
        <v>0</v>
      </c>
      <c r="W863" s="211">
        <f t="shared" si="285"/>
        <v>-100</v>
      </c>
      <c r="X863" s="211">
        <f t="shared" si="286"/>
        <v>0</v>
      </c>
    </row>
    <row r="864" spans="1:24" s="283" customFormat="1" ht="15" x14ac:dyDescent="0.2">
      <c r="A864" s="746" t="s">
        <v>1941</v>
      </c>
      <c r="B864" s="306" t="s">
        <v>180</v>
      </c>
      <c r="C864" s="354" t="s">
        <v>8</v>
      </c>
      <c r="D864" s="354" t="s">
        <v>605</v>
      </c>
      <c r="E864" s="450">
        <v>9990012210</v>
      </c>
      <c r="F864" s="450"/>
      <c r="G864" s="591">
        <f>G865</f>
        <v>200</v>
      </c>
      <c r="H864" s="591">
        <f>H865</f>
        <v>0</v>
      </c>
      <c r="I864" s="591">
        <f>I865</f>
        <v>200</v>
      </c>
      <c r="J864" s="591">
        <f>J865</f>
        <v>0</v>
      </c>
      <c r="K864" s="591">
        <f t="shared" si="288"/>
        <v>0</v>
      </c>
      <c r="L864" s="591">
        <f t="shared" si="289"/>
        <v>0</v>
      </c>
      <c r="M864" s="217">
        <f t="shared" si="297"/>
        <v>0</v>
      </c>
      <c r="N864" s="264"/>
      <c r="R864" s="591">
        <f>R865</f>
        <v>120</v>
      </c>
      <c r="S864" s="591">
        <f>S865</f>
        <v>0</v>
      </c>
      <c r="T864" s="289">
        <f t="shared" si="298"/>
        <v>0</v>
      </c>
      <c r="U864" s="498">
        <f>U865</f>
        <v>120</v>
      </c>
      <c r="V864" s="498">
        <f>V865</f>
        <v>0</v>
      </c>
      <c r="W864" s="290">
        <f t="shared" si="285"/>
        <v>0</v>
      </c>
      <c r="X864" s="290">
        <f t="shared" si="286"/>
        <v>0</v>
      </c>
    </row>
    <row r="865" spans="1:24" ht="15" x14ac:dyDescent="0.2">
      <c r="A865" s="739" t="s">
        <v>125</v>
      </c>
      <c r="B865" s="243" t="s">
        <v>180</v>
      </c>
      <c r="C865" s="353" t="s">
        <v>8</v>
      </c>
      <c r="D865" s="353" t="s">
        <v>605</v>
      </c>
      <c r="E865" s="369">
        <v>9990012210</v>
      </c>
      <c r="F865" s="369" t="s">
        <v>123</v>
      </c>
      <c r="G865" s="288">
        <v>200</v>
      </c>
      <c r="H865" s="288"/>
      <c r="I865" s="288">
        <v>200</v>
      </c>
      <c r="J865" s="288"/>
      <c r="K865" s="43">
        <f t="shared" si="288"/>
        <v>0</v>
      </c>
      <c r="L865" s="43">
        <f t="shared" si="289"/>
        <v>0</v>
      </c>
      <c r="M865" s="217">
        <f t="shared" si="297"/>
        <v>0</v>
      </c>
      <c r="N865" s="43"/>
      <c r="R865" s="288">
        <v>120</v>
      </c>
      <c r="S865" s="288"/>
      <c r="T865" s="217">
        <f t="shared" si="298"/>
        <v>0</v>
      </c>
      <c r="U865" s="288">
        <v>120</v>
      </c>
      <c r="V865" s="288"/>
      <c r="W865" s="203">
        <f t="shared" si="285"/>
        <v>0</v>
      </c>
      <c r="X865" s="203">
        <f t="shared" si="286"/>
        <v>0</v>
      </c>
    </row>
    <row r="866" spans="1:24" ht="15" x14ac:dyDescent="0.2">
      <c r="A866" s="746" t="s">
        <v>2016</v>
      </c>
      <c r="B866" s="306" t="s">
        <v>180</v>
      </c>
      <c r="C866" s="354" t="s">
        <v>8</v>
      </c>
      <c r="D866" s="354" t="s">
        <v>605</v>
      </c>
      <c r="E866" s="697">
        <v>9990012290</v>
      </c>
      <c r="F866" s="697"/>
      <c r="G866" s="591">
        <f>G867</f>
        <v>0</v>
      </c>
      <c r="H866" s="591">
        <f>H867</f>
        <v>0</v>
      </c>
      <c r="I866" s="591">
        <f>I867</f>
        <v>100</v>
      </c>
      <c r="J866" s="591">
        <f>J867</f>
        <v>0</v>
      </c>
      <c r="K866" s="591">
        <f t="shared" ref="K866:K867" si="299">I866-G866</f>
        <v>100</v>
      </c>
      <c r="L866" s="591">
        <f t="shared" ref="L866:L867" si="300">J866-H866</f>
        <v>0</v>
      </c>
      <c r="M866" s="217"/>
      <c r="N866" s="43"/>
      <c r="R866" s="288"/>
      <c r="S866" s="288"/>
      <c r="T866" s="217"/>
      <c r="U866" s="288"/>
      <c r="V866" s="288"/>
      <c r="W866" s="203"/>
      <c r="X866" s="203"/>
    </row>
    <row r="867" spans="1:24" ht="15" x14ac:dyDescent="0.2">
      <c r="A867" s="739" t="s">
        <v>1542</v>
      </c>
      <c r="B867" s="243" t="s">
        <v>180</v>
      </c>
      <c r="C867" s="353" t="s">
        <v>8</v>
      </c>
      <c r="D867" s="353" t="s">
        <v>605</v>
      </c>
      <c r="E867" s="369">
        <v>9990012290</v>
      </c>
      <c r="F867" s="369" t="s">
        <v>123</v>
      </c>
      <c r="G867" s="288">
        <v>0</v>
      </c>
      <c r="H867" s="288"/>
      <c r="I867" s="288">
        <v>100</v>
      </c>
      <c r="J867" s="288"/>
      <c r="K867" s="43">
        <f t="shared" si="299"/>
        <v>100</v>
      </c>
      <c r="L867" s="43">
        <f t="shared" si="300"/>
        <v>0</v>
      </c>
      <c r="M867" s="217"/>
      <c r="N867" s="43"/>
      <c r="R867" s="288"/>
      <c r="S867" s="288"/>
      <c r="T867" s="217"/>
      <c r="U867" s="288"/>
      <c r="V867" s="288"/>
      <c r="W867" s="203"/>
      <c r="X867" s="203"/>
    </row>
    <row r="868" spans="1:24" s="307" customFormat="1" ht="15" x14ac:dyDescent="0.2">
      <c r="A868" s="746" t="s">
        <v>814</v>
      </c>
      <c r="B868" s="306" t="s">
        <v>180</v>
      </c>
      <c r="C868" s="354" t="s">
        <v>8</v>
      </c>
      <c r="D868" s="354" t="s">
        <v>605</v>
      </c>
      <c r="E868" s="450" t="s">
        <v>815</v>
      </c>
      <c r="F868" s="450"/>
      <c r="G868" s="591">
        <f>G869+G870</f>
        <v>200</v>
      </c>
      <c r="H868" s="591">
        <f>H869+H870</f>
        <v>0</v>
      </c>
      <c r="I868" s="591">
        <f>I869+I870</f>
        <v>200</v>
      </c>
      <c r="J868" s="591">
        <f>J869+J870</f>
        <v>0</v>
      </c>
      <c r="K868" s="591">
        <f t="shared" si="288"/>
        <v>0</v>
      </c>
      <c r="L868" s="591">
        <f t="shared" si="289"/>
        <v>0</v>
      </c>
      <c r="M868" s="217">
        <f t="shared" si="297"/>
        <v>0</v>
      </c>
      <c r="N868" s="292"/>
      <c r="R868" s="591">
        <f>R869+R870</f>
        <v>200</v>
      </c>
      <c r="S868" s="591">
        <f>S869+S870</f>
        <v>0</v>
      </c>
      <c r="T868" s="309">
        <f t="shared" si="298"/>
        <v>0</v>
      </c>
      <c r="U868" s="498">
        <f>U869+U870</f>
        <v>0</v>
      </c>
      <c r="V868" s="498">
        <f>V869+V870</f>
        <v>0</v>
      </c>
      <c r="W868" s="310">
        <f t="shared" si="285"/>
        <v>0</v>
      </c>
      <c r="X868" s="310">
        <f t="shared" si="286"/>
        <v>0</v>
      </c>
    </row>
    <row r="869" spans="1:24" ht="25.5" x14ac:dyDescent="0.2">
      <c r="A869" s="739" t="s">
        <v>648</v>
      </c>
      <c r="B869" s="243" t="s">
        <v>180</v>
      </c>
      <c r="C869" s="353" t="s">
        <v>8</v>
      </c>
      <c r="D869" s="353" t="s">
        <v>605</v>
      </c>
      <c r="E869" s="369" t="s">
        <v>815</v>
      </c>
      <c r="F869" s="369" t="s">
        <v>127</v>
      </c>
      <c r="G869" s="288">
        <v>76.875</v>
      </c>
      <c r="H869" s="288"/>
      <c r="I869" s="288">
        <v>76.875</v>
      </c>
      <c r="J869" s="288"/>
      <c r="K869" s="43">
        <f t="shared" si="288"/>
        <v>0</v>
      </c>
      <c r="L869" s="43">
        <f t="shared" si="289"/>
        <v>0</v>
      </c>
      <c r="M869" s="217">
        <f t="shared" si="297"/>
        <v>0</v>
      </c>
      <c r="N869" s="43"/>
      <c r="R869" s="288">
        <v>112.316</v>
      </c>
      <c r="S869" s="288"/>
      <c r="T869" s="217">
        <f t="shared" si="298"/>
        <v>0</v>
      </c>
      <c r="U869" s="288"/>
      <c r="V869" s="288"/>
      <c r="W869" s="203">
        <f t="shared" si="285"/>
        <v>0</v>
      </c>
      <c r="X869" s="203">
        <f t="shared" si="286"/>
        <v>0</v>
      </c>
    </row>
    <row r="870" spans="1:24" ht="25.5" x14ac:dyDescent="0.2">
      <c r="A870" s="739" t="s">
        <v>646</v>
      </c>
      <c r="B870" s="243" t="s">
        <v>180</v>
      </c>
      <c r="C870" s="353" t="s">
        <v>8</v>
      </c>
      <c r="D870" s="353" t="s">
        <v>605</v>
      </c>
      <c r="E870" s="369" t="s">
        <v>815</v>
      </c>
      <c r="F870" s="369" t="s">
        <v>128</v>
      </c>
      <c r="G870" s="288">
        <v>123.125</v>
      </c>
      <c r="H870" s="288"/>
      <c r="I870" s="288">
        <v>123.125</v>
      </c>
      <c r="J870" s="288"/>
      <c r="K870" s="43">
        <f t="shared" si="288"/>
        <v>0</v>
      </c>
      <c r="L870" s="43">
        <f t="shared" si="289"/>
        <v>0</v>
      </c>
      <c r="M870" s="217">
        <f t="shared" si="297"/>
        <v>0</v>
      </c>
      <c r="N870" s="43"/>
      <c r="R870" s="288">
        <v>87.683999999999997</v>
      </c>
      <c r="S870" s="288"/>
      <c r="T870" s="217">
        <f t="shared" si="298"/>
        <v>0</v>
      </c>
      <c r="U870" s="288"/>
      <c r="V870" s="288"/>
      <c r="W870" s="203">
        <f t="shared" si="285"/>
        <v>0</v>
      </c>
      <c r="X870" s="203">
        <f t="shared" si="286"/>
        <v>0</v>
      </c>
    </row>
    <row r="871" spans="1:24" s="307" customFormat="1" ht="15" hidden="1" x14ac:dyDescent="0.2">
      <c r="A871" s="451" t="s">
        <v>1230</v>
      </c>
      <c r="B871" s="306" t="s">
        <v>180</v>
      </c>
      <c r="C871" s="354" t="s">
        <v>8</v>
      </c>
      <c r="D871" s="354" t="s">
        <v>605</v>
      </c>
      <c r="E871" s="450">
        <v>9990074410</v>
      </c>
      <c r="F871" s="450"/>
      <c r="G871" s="498">
        <f>G872</f>
        <v>0</v>
      </c>
      <c r="H871" s="498">
        <f>H872</f>
        <v>0</v>
      </c>
      <c r="I871" s="591">
        <f>I872</f>
        <v>0</v>
      </c>
      <c r="J871" s="591">
        <f>J872</f>
        <v>0</v>
      </c>
      <c r="K871" s="591">
        <f t="shared" si="288"/>
        <v>0</v>
      </c>
      <c r="L871" s="591">
        <f t="shared" si="289"/>
        <v>0</v>
      </c>
      <c r="M871" s="217">
        <f t="shared" si="297"/>
        <v>0</v>
      </c>
      <c r="N871" s="292"/>
      <c r="R871" s="591">
        <f>R872</f>
        <v>0</v>
      </c>
      <c r="S871" s="591">
        <f>S872</f>
        <v>0</v>
      </c>
      <c r="T871" s="309"/>
      <c r="U871" s="498">
        <f>U872</f>
        <v>0</v>
      </c>
      <c r="V871" s="498">
        <f>V872</f>
        <v>0</v>
      </c>
      <c r="W871" s="310">
        <f t="shared" si="285"/>
        <v>0</v>
      </c>
      <c r="X871" s="310">
        <f t="shared" si="286"/>
        <v>0</v>
      </c>
    </row>
    <row r="872" spans="1:24" ht="15" hidden="1" x14ac:dyDescent="0.2">
      <c r="A872" s="124" t="s">
        <v>125</v>
      </c>
      <c r="B872" s="243" t="s">
        <v>180</v>
      </c>
      <c r="C872" s="353" t="s">
        <v>8</v>
      </c>
      <c r="D872" s="353" t="s">
        <v>605</v>
      </c>
      <c r="E872" s="369">
        <v>9990074410</v>
      </c>
      <c r="F872" s="369" t="s">
        <v>123</v>
      </c>
      <c r="G872" s="288">
        <v>0</v>
      </c>
      <c r="H872" s="288">
        <v>0</v>
      </c>
      <c r="I872" s="288">
        <v>0</v>
      </c>
      <c r="J872" s="288">
        <v>0</v>
      </c>
      <c r="K872" s="43">
        <f t="shared" si="288"/>
        <v>0</v>
      </c>
      <c r="L872" s="43">
        <f t="shared" si="289"/>
        <v>0</v>
      </c>
      <c r="M872" s="217">
        <f t="shared" si="297"/>
        <v>0</v>
      </c>
      <c r="N872" s="43"/>
      <c r="R872" s="288">
        <v>0</v>
      </c>
      <c r="S872" s="288">
        <v>0</v>
      </c>
      <c r="T872" s="217"/>
      <c r="U872" s="288">
        <v>0</v>
      </c>
      <c r="V872" s="288">
        <v>0</v>
      </c>
      <c r="W872" s="203">
        <f t="shared" si="285"/>
        <v>0</v>
      </c>
      <c r="X872" s="203">
        <f t="shared" si="286"/>
        <v>0</v>
      </c>
    </row>
    <row r="873" spans="1:24" s="307" customFormat="1" ht="15" hidden="1" x14ac:dyDescent="0.2">
      <c r="A873" s="451" t="s">
        <v>49</v>
      </c>
      <c r="B873" s="306" t="s">
        <v>180</v>
      </c>
      <c r="C873" s="354" t="s">
        <v>8</v>
      </c>
      <c r="D873" s="354" t="s">
        <v>605</v>
      </c>
      <c r="E873" s="450">
        <v>9990082900</v>
      </c>
      <c r="F873" s="450"/>
      <c r="G873" s="498">
        <f>G874</f>
        <v>0</v>
      </c>
      <c r="H873" s="498">
        <f>H874</f>
        <v>0</v>
      </c>
      <c r="I873" s="591">
        <f>I874</f>
        <v>0</v>
      </c>
      <c r="J873" s="591">
        <f>J874</f>
        <v>0</v>
      </c>
      <c r="K873" s="591">
        <f t="shared" si="288"/>
        <v>0</v>
      </c>
      <c r="L873" s="591">
        <f t="shared" si="289"/>
        <v>0</v>
      </c>
      <c r="M873" s="217">
        <f t="shared" si="297"/>
        <v>0</v>
      </c>
      <c r="N873" s="292"/>
      <c r="R873" s="591">
        <f>R874</f>
        <v>0</v>
      </c>
      <c r="S873" s="591">
        <f>S874</f>
        <v>0</v>
      </c>
      <c r="T873" s="309"/>
      <c r="U873" s="498">
        <f t="shared" ref="U873:V875" si="301">U874</f>
        <v>0</v>
      </c>
      <c r="V873" s="498">
        <f t="shared" si="301"/>
        <v>0</v>
      </c>
      <c r="W873" s="310">
        <f t="shared" si="285"/>
        <v>0</v>
      </c>
      <c r="X873" s="310">
        <f t="shared" si="286"/>
        <v>0</v>
      </c>
    </row>
    <row r="874" spans="1:24" ht="25.5" hidden="1" x14ac:dyDescent="0.2">
      <c r="A874" s="124" t="s">
        <v>648</v>
      </c>
      <c r="B874" s="243" t="s">
        <v>180</v>
      </c>
      <c r="C874" s="353" t="s">
        <v>8</v>
      </c>
      <c r="D874" s="353" t="s">
        <v>605</v>
      </c>
      <c r="E874" s="369">
        <v>9990082900</v>
      </c>
      <c r="F874" s="369">
        <v>611</v>
      </c>
      <c r="G874" s="288">
        <v>0</v>
      </c>
      <c r="H874" s="288"/>
      <c r="I874" s="288">
        <v>0</v>
      </c>
      <c r="J874" s="288"/>
      <c r="K874" s="43">
        <f t="shared" si="288"/>
        <v>0</v>
      </c>
      <c r="L874" s="43">
        <f t="shared" si="289"/>
        <v>0</v>
      </c>
      <c r="M874" s="217">
        <f t="shared" si="297"/>
        <v>0</v>
      </c>
      <c r="N874" s="43"/>
      <c r="R874" s="288">
        <v>0</v>
      </c>
      <c r="S874" s="288"/>
      <c r="T874" s="217"/>
      <c r="U874" s="288">
        <v>0</v>
      </c>
      <c r="V874" s="288"/>
      <c r="W874" s="203">
        <f t="shared" si="285"/>
        <v>0</v>
      </c>
      <c r="X874" s="203">
        <f t="shared" si="286"/>
        <v>0</v>
      </c>
    </row>
    <row r="875" spans="1:24" ht="15" hidden="1" x14ac:dyDescent="0.2">
      <c r="A875" s="451" t="s">
        <v>1229</v>
      </c>
      <c r="B875" s="306" t="s">
        <v>180</v>
      </c>
      <c r="C875" s="354" t="s">
        <v>8</v>
      </c>
      <c r="D875" s="354" t="s">
        <v>605</v>
      </c>
      <c r="E875" s="450" t="s">
        <v>1228</v>
      </c>
      <c r="F875" s="450"/>
      <c r="G875" s="498">
        <f>G876</f>
        <v>0</v>
      </c>
      <c r="H875" s="498">
        <f>H876</f>
        <v>0</v>
      </c>
      <c r="I875" s="591">
        <f>I876</f>
        <v>0</v>
      </c>
      <c r="J875" s="591">
        <f>J876</f>
        <v>0</v>
      </c>
      <c r="K875" s="591">
        <f t="shared" si="288"/>
        <v>0</v>
      </c>
      <c r="L875" s="591">
        <f t="shared" si="289"/>
        <v>0</v>
      </c>
      <c r="M875" s="217">
        <f t="shared" si="297"/>
        <v>0</v>
      </c>
      <c r="N875" s="43"/>
      <c r="R875" s="591">
        <f>R876</f>
        <v>0</v>
      </c>
      <c r="S875" s="591">
        <f>S876</f>
        <v>0</v>
      </c>
      <c r="T875" s="217"/>
      <c r="U875" s="498">
        <f t="shared" si="301"/>
        <v>0</v>
      </c>
      <c r="V875" s="498">
        <f t="shared" si="301"/>
        <v>0</v>
      </c>
      <c r="W875" s="203"/>
      <c r="X875" s="203"/>
    </row>
    <row r="876" spans="1:24" ht="15" hidden="1" x14ac:dyDescent="0.2">
      <c r="A876" s="124" t="s">
        <v>125</v>
      </c>
      <c r="B876" s="243" t="s">
        <v>180</v>
      </c>
      <c r="C876" s="353" t="s">
        <v>8</v>
      </c>
      <c r="D876" s="353" t="s">
        <v>605</v>
      </c>
      <c r="E876" s="369" t="s">
        <v>1228</v>
      </c>
      <c r="F876" s="369">
        <v>612</v>
      </c>
      <c r="G876" s="288">
        <v>0</v>
      </c>
      <c r="H876" s="288"/>
      <c r="I876" s="288">
        <v>0</v>
      </c>
      <c r="J876" s="288"/>
      <c r="K876" s="43">
        <f t="shared" si="288"/>
        <v>0</v>
      </c>
      <c r="L876" s="43">
        <f t="shared" si="289"/>
        <v>0</v>
      </c>
      <c r="M876" s="217">
        <f t="shared" si="297"/>
        <v>0</v>
      </c>
      <c r="N876" s="43"/>
      <c r="R876" s="288">
        <v>0</v>
      </c>
      <c r="S876" s="288"/>
      <c r="T876" s="217"/>
      <c r="U876" s="288">
        <v>0</v>
      </c>
      <c r="V876" s="288"/>
      <c r="W876" s="203"/>
      <c r="X876" s="203"/>
    </row>
    <row r="877" spans="1:24" ht="25.5" hidden="1" x14ac:dyDescent="0.2">
      <c r="A877" s="451" t="s">
        <v>1372</v>
      </c>
      <c r="B877" s="306" t="s">
        <v>180</v>
      </c>
      <c r="C877" s="354" t="s">
        <v>8</v>
      </c>
      <c r="D877" s="354" t="s">
        <v>605</v>
      </c>
      <c r="E877" s="450" t="s">
        <v>1371</v>
      </c>
      <c r="F877" s="450"/>
      <c r="G877" s="498"/>
      <c r="H877" s="498">
        <f>H878+H879</f>
        <v>0</v>
      </c>
      <c r="I877" s="591"/>
      <c r="J877" s="591">
        <f>J878+J879</f>
        <v>0</v>
      </c>
      <c r="K877" s="591">
        <f t="shared" si="288"/>
        <v>0</v>
      </c>
      <c r="L877" s="591">
        <f t="shared" si="289"/>
        <v>0</v>
      </c>
      <c r="M877" s="217">
        <f t="shared" si="297"/>
        <v>0</v>
      </c>
      <c r="N877" s="43"/>
      <c r="R877" s="591"/>
      <c r="S877" s="591">
        <f>S878+S879</f>
        <v>0</v>
      </c>
      <c r="T877" s="217"/>
      <c r="U877" s="498">
        <f>U878+U879</f>
        <v>0</v>
      </c>
      <c r="V877" s="498">
        <f>V878+V879</f>
        <v>0</v>
      </c>
      <c r="W877" s="203"/>
      <c r="X877" s="203"/>
    </row>
    <row r="878" spans="1:24" ht="25.5" hidden="1" x14ac:dyDescent="0.2">
      <c r="A878" s="124" t="s">
        <v>836</v>
      </c>
      <c r="B878" s="243" t="s">
        <v>180</v>
      </c>
      <c r="C878" s="353" t="s">
        <v>8</v>
      </c>
      <c r="D878" s="353" t="s">
        <v>605</v>
      </c>
      <c r="E878" s="369" t="s">
        <v>1371</v>
      </c>
      <c r="F878" s="369">
        <v>811</v>
      </c>
      <c r="G878" s="288"/>
      <c r="H878" s="288">
        <v>0</v>
      </c>
      <c r="I878" s="288"/>
      <c r="J878" s="288">
        <v>0</v>
      </c>
      <c r="K878" s="43">
        <f t="shared" si="288"/>
        <v>0</v>
      </c>
      <c r="L878" s="43">
        <f t="shared" si="289"/>
        <v>0</v>
      </c>
      <c r="M878" s="217">
        <f t="shared" si="297"/>
        <v>0</v>
      </c>
      <c r="N878" s="43"/>
      <c r="R878" s="288"/>
      <c r="S878" s="288">
        <v>0</v>
      </c>
      <c r="T878" s="217"/>
      <c r="U878" s="288">
        <v>0</v>
      </c>
      <c r="V878" s="288">
        <v>0</v>
      </c>
      <c r="W878" s="203"/>
      <c r="X878" s="203"/>
    </row>
    <row r="879" spans="1:24" s="307" customFormat="1" ht="15" x14ac:dyDescent="0.2">
      <c r="A879" s="746" t="s">
        <v>294</v>
      </c>
      <c r="B879" s="306" t="s">
        <v>180</v>
      </c>
      <c r="C879" s="354" t="s">
        <v>8</v>
      </c>
      <c r="D879" s="354" t="s">
        <v>605</v>
      </c>
      <c r="E879" s="450" t="s">
        <v>692</v>
      </c>
      <c r="F879" s="450"/>
      <c r="G879" s="591">
        <f>G880+G881</f>
        <v>401</v>
      </c>
      <c r="H879" s="591">
        <f>H880+H881</f>
        <v>0</v>
      </c>
      <c r="I879" s="591">
        <f>I880+I881</f>
        <v>401</v>
      </c>
      <c r="J879" s="591">
        <f>J880+J881</f>
        <v>0</v>
      </c>
      <c r="K879" s="591">
        <f t="shared" si="288"/>
        <v>0</v>
      </c>
      <c r="L879" s="591">
        <f t="shared" si="289"/>
        <v>0</v>
      </c>
      <c r="M879" s="217">
        <f t="shared" si="297"/>
        <v>0</v>
      </c>
      <c r="N879" s="292">
        <f t="shared" ref="N879:V879" si="302">N880+N881</f>
        <v>0</v>
      </c>
      <c r="O879" s="292">
        <f t="shared" si="302"/>
        <v>0</v>
      </c>
      <c r="P879" s="292">
        <f t="shared" si="302"/>
        <v>0</v>
      </c>
      <c r="Q879" s="292"/>
      <c r="R879" s="591">
        <f>R880+R881</f>
        <v>2627.4828000000002</v>
      </c>
      <c r="S879" s="591">
        <f>S880+S881</f>
        <v>0</v>
      </c>
      <c r="T879" s="292">
        <f t="shared" si="302"/>
        <v>0</v>
      </c>
      <c r="U879" s="498">
        <f t="shared" si="302"/>
        <v>0</v>
      </c>
      <c r="V879" s="498">
        <f t="shared" si="302"/>
        <v>0</v>
      </c>
      <c r="W879" s="310">
        <f t="shared" si="285"/>
        <v>0</v>
      </c>
      <c r="X879" s="310">
        <f t="shared" si="286"/>
        <v>0</v>
      </c>
    </row>
    <row r="880" spans="1:24" ht="15" x14ac:dyDescent="0.2">
      <c r="A880" s="739" t="s">
        <v>125</v>
      </c>
      <c r="B880" s="243" t="s">
        <v>180</v>
      </c>
      <c r="C880" s="353" t="s">
        <v>8</v>
      </c>
      <c r="D880" s="353" t="s">
        <v>605</v>
      </c>
      <c r="E880" s="369" t="s">
        <v>692</v>
      </c>
      <c r="F880" s="369" t="s">
        <v>123</v>
      </c>
      <c r="G880" s="288">
        <v>401</v>
      </c>
      <c r="H880" s="288"/>
      <c r="I880" s="288">
        <v>401</v>
      </c>
      <c r="J880" s="288"/>
      <c r="K880" s="43">
        <f t="shared" si="288"/>
        <v>0</v>
      </c>
      <c r="L880" s="43">
        <f t="shared" si="289"/>
        <v>0</v>
      </c>
      <c r="M880" s="217">
        <f t="shared" si="297"/>
        <v>0</v>
      </c>
      <c r="N880" s="43"/>
      <c r="R880" s="288"/>
      <c r="S880" s="288"/>
      <c r="T880" s="217">
        <f>I880-G880</f>
        <v>0</v>
      </c>
      <c r="U880" s="288"/>
      <c r="V880" s="288"/>
      <c r="W880" s="203">
        <f t="shared" si="285"/>
        <v>0</v>
      </c>
      <c r="X880" s="203">
        <f t="shared" si="286"/>
        <v>0</v>
      </c>
    </row>
    <row r="881" spans="1:24" ht="15" hidden="1" x14ac:dyDescent="0.2">
      <c r="A881" s="124" t="s">
        <v>126</v>
      </c>
      <c r="B881" s="243" t="s">
        <v>180</v>
      </c>
      <c r="C881" s="353" t="s">
        <v>8</v>
      </c>
      <c r="D881" s="353" t="s">
        <v>605</v>
      </c>
      <c r="E881" s="369" t="s">
        <v>692</v>
      </c>
      <c r="F881" s="369" t="s">
        <v>124</v>
      </c>
      <c r="G881" s="288"/>
      <c r="H881" s="288"/>
      <c r="I881" s="288"/>
      <c r="J881" s="288"/>
      <c r="K881" s="43">
        <f t="shared" si="288"/>
        <v>0</v>
      </c>
      <c r="L881" s="43">
        <f t="shared" si="289"/>
        <v>0</v>
      </c>
      <c r="M881" s="217">
        <f t="shared" si="297"/>
        <v>0</v>
      </c>
      <c r="N881" s="43"/>
      <c r="R881" s="288">
        <v>2627.4828000000002</v>
      </c>
      <c r="S881" s="288"/>
      <c r="T881" s="217"/>
      <c r="U881" s="288"/>
      <c r="V881" s="288"/>
      <c r="W881" s="203">
        <f t="shared" si="285"/>
        <v>0</v>
      </c>
      <c r="X881" s="203">
        <f t="shared" si="286"/>
        <v>0</v>
      </c>
    </row>
    <row r="882" spans="1:24" s="307" customFormat="1" ht="15" hidden="1" x14ac:dyDescent="0.2">
      <c r="A882" s="451" t="s">
        <v>1048</v>
      </c>
      <c r="B882" s="306" t="s">
        <v>180</v>
      </c>
      <c r="C882" s="354" t="s">
        <v>8</v>
      </c>
      <c r="D882" s="354" t="s">
        <v>605</v>
      </c>
      <c r="E882" s="450" t="s">
        <v>1051</v>
      </c>
      <c r="F882" s="450"/>
      <c r="G882" s="498">
        <f>G883</f>
        <v>0</v>
      </c>
      <c r="H882" s="498">
        <f>H883</f>
        <v>0</v>
      </c>
      <c r="I882" s="591">
        <f>I883</f>
        <v>0</v>
      </c>
      <c r="J882" s="591">
        <f>J883</f>
        <v>0</v>
      </c>
      <c r="K882" s="591">
        <f t="shared" si="288"/>
        <v>0</v>
      </c>
      <c r="L882" s="591">
        <f t="shared" si="289"/>
        <v>0</v>
      </c>
      <c r="M882" s="217">
        <f t="shared" si="297"/>
        <v>0</v>
      </c>
      <c r="N882" s="292"/>
      <c r="R882" s="591">
        <f>R883</f>
        <v>0</v>
      </c>
      <c r="S882" s="591">
        <f>S883</f>
        <v>0</v>
      </c>
      <c r="T882" s="309"/>
      <c r="U882" s="498">
        <f>U883</f>
        <v>0</v>
      </c>
      <c r="V882" s="498">
        <f>V883</f>
        <v>0</v>
      </c>
      <c r="W882" s="310">
        <f t="shared" si="285"/>
        <v>0</v>
      </c>
      <c r="X882" s="310">
        <f t="shared" si="286"/>
        <v>0</v>
      </c>
    </row>
    <row r="883" spans="1:24" ht="25.5" hidden="1" x14ac:dyDescent="0.2">
      <c r="A883" s="124" t="s">
        <v>648</v>
      </c>
      <c r="B883" s="243" t="s">
        <v>180</v>
      </c>
      <c r="C883" s="353" t="s">
        <v>8</v>
      </c>
      <c r="D883" s="353" t="s">
        <v>605</v>
      </c>
      <c r="E883" s="369" t="s">
        <v>1051</v>
      </c>
      <c r="F883" s="369" t="s">
        <v>127</v>
      </c>
      <c r="G883" s="288"/>
      <c r="H883" s="288"/>
      <c r="I883" s="288"/>
      <c r="J883" s="288"/>
      <c r="K883" s="43">
        <f t="shared" si="288"/>
        <v>0</v>
      </c>
      <c r="L883" s="43">
        <f t="shared" si="289"/>
        <v>0</v>
      </c>
      <c r="M883" s="217">
        <f t="shared" si="297"/>
        <v>0</v>
      </c>
      <c r="N883" s="43"/>
      <c r="R883" s="288"/>
      <c r="S883" s="288"/>
      <c r="T883" s="217"/>
      <c r="U883" s="288"/>
      <c r="V883" s="288"/>
      <c r="W883" s="203">
        <f t="shared" si="285"/>
        <v>0</v>
      </c>
      <c r="X883" s="203">
        <f t="shared" si="286"/>
        <v>0</v>
      </c>
    </row>
    <row r="884" spans="1:24" s="307" customFormat="1" ht="15" x14ac:dyDescent="0.2">
      <c r="A884" s="746" t="s">
        <v>284</v>
      </c>
      <c r="B884" s="306" t="s">
        <v>180</v>
      </c>
      <c r="C884" s="354" t="s">
        <v>8</v>
      </c>
      <c r="D884" s="354" t="s">
        <v>614</v>
      </c>
      <c r="E884" s="450" t="s">
        <v>683</v>
      </c>
      <c r="F884" s="450"/>
      <c r="G884" s="591">
        <f>G897+G990+G885+G978+G983+G974</f>
        <v>678556.15825999994</v>
      </c>
      <c r="H884" s="591">
        <f>H897+H990+H885+H978+H983+H974</f>
        <v>107434.88699999999</v>
      </c>
      <c r="I884" s="591">
        <f>I897+I990+I885+I978+I983+I974</f>
        <v>725279.13052000001</v>
      </c>
      <c r="J884" s="591">
        <f>J897+J990+J885+J978+J983+J974</f>
        <v>130112.787</v>
      </c>
      <c r="K884" s="591">
        <f t="shared" si="288"/>
        <v>46722.972260000068</v>
      </c>
      <c r="L884" s="591">
        <f t="shared" si="289"/>
        <v>22677.900000000009</v>
      </c>
      <c r="M884" s="217">
        <f t="shared" si="297"/>
        <v>0</v>
      </c>
      <c r="N884" s="292" t="e">
        <f>N897+N990</f>
        <v>#REF!</v>
      </c>
      <c r="R884" s="591" t="e">
        <f>R897+R990+R885+R978+R983+R974</f>
        <v>#REF!</v>
      </c>
      <c r="S884" s="591" t="e">
        <f>S897+S990+S885+S978+S983+S974</f>
        <v>#REF!</v>
      </c>
      <c r="T884" s="309">
        <f t="shared" ref="T884:T909" si="303">I884-G884</f>
        <v>46722.972260000068</v>
      </c>
      <c r="U884" s="498" t="e">
        <f>U897+U990+U885+U978+U983</f>
        <v>#REF!</v>
      </c>
      <c r="V884" s="498" t="e">
        <f>V897+V990+V885+V978+V983</f>
        <v>#REF!</v>
      </c>
      <c r="W884" s="310">
        <f t="shared" si="285"/>
        <v>-46722.972260000068</v>
      </c>
      <c r="X884" s="310">
        <f t="shared" si="286"/>
        <v>0</v>
      </c>
    </row>
    <row r="885" spans="1:24" s="307" customFormat="1" ht="25.5" x14ac:dyDescent="0.2">
      <c r="A885" s="746" t="s">
        <v>679</v>
      </c>
      <c r="B885" s="306" t="s">
        <v>180</v>
      </c>
      <c r="C885" s="354" t="s">
        <v>8</v>
      </c>
      <c r="D885" s="354" t="s">
        <v>614</v>
      </c>
      <c r="E885" s="450" t="s">
        <v>676</v>
      </c>
      <c r="F885" s="450"/>
      <c r="G885" s="591">
        <f>G886</f>
        <v>900.14</v>
      </c>
      <c r="H885" s="591">
        <f>H886</f>
        <v>812.28699999999992</v>
      </c>
      <c r="I885" s="591">
        <f>I886</f>
        <v>900.14</v>
      </c>
      <c r="J885" s="591">
        <f>J886</f>
        <v>812.28699999999992</v>
      </c>
      <c r="K885" s="591">
        <f t="shared" si="288"/>
        <v>0</v>
      </c>
      <c r="L885" s="591">
        <f t="shared" si="289"/>
        <v>0</v>
      </c>
      <c r="M885" s="217">
        <f t="shared" si="297"/>
        <v>0</v>
      </c>
      <c r="N885" s="292"/>
      <c r="R885" s="591">
        <f>R886</f>
        <v>0</v>
      </c>
      <c r="S885" s="591">
        <f>S886</f>
        <v>0</v>
      </c>
      <c r="T885" s="309">
        <f t="shared" si="303"/>
        <v>0</v>
      </c>
      <c r="U885" s="498">
        <f>U886</f>
        <v>634.22929999999997</v>
      </c>
      <c r="V885" s="498">
        <f>V886</f>
        <v>572.32839999999999</v>
      </c>
      <c r="W885" s="310">
        <f t="shared" si="285"/>
        <v>0</v>
      </c>
      <c r="X885" s="310">
        <f t="shared" si="286"/>
        <v>0</v>
      </c>
    </row>
    <row r="886" spans="1:24" s="307" customFormat="1" ht="27.75" customHeight="1" x14ac:dyDescent="0.2">
      <c r="A886" s="746" t="s">
        <v>1486</v>
      </c>
      <c r="B886" s="306" t="s">
        <v>180</v>
      </c>
      <c r="C886" s="354" t="s">
        <v>8</v>
      </c>
      <c r="D886" s="354" t="s">
        <v>614</v>
      </c>
      <c r="E886" s="450" t="s">
        <v>681</v>
      </c>
      <c r="F886" s="450"/>
      <c r="G886" s="591">
        <f>G893+G889+G887+G895+G891</f>
        <v>900.14</v>
      </c>
      <c r="H886" s="591">
        <f>H893+H889+H887+H895+H891</f>
        <v>812.28699999999992</v>
      </c>
      <c r="I886" s="591">
        <f>I893+I889+I887+I895+I891</f>
        <v>900.14</v>
      </c>
      <c r="J886" s="591">
        <f>J893+J889+J887+J895+J891</f>
        <v>812.28699999999992</v>
      </c>
      <c r="K886" s="591">
        <f t="shared" si="288"/>
        <v>0</v>
      </c>
      <c r="L886" s="591">
        <f t="shared" si="289"/>
        <v>0</v>
      </c>
      <c r="M886" s="217">
        <f t="shared" si="297"/>
        <v>0</v>
      </c>
      <c r="N886" s="292"/>
      <c r="R886" s="591">
        <f>R893+R889+R887+R895+R891</f>
        <v>0</v>
      </c>
      <c r="S886" s="591">
        <f>S893+S889+S887+S895+S891</f>
        <v>0</v>
      </c>
      <c r="T886" s="309">
        <f t="shared" si="303"/>
        <v>0</v>
      </c>
      <c r="U886" s="498">
        <f>U893+U889+U887+U895+U891</f>
        <v>634.22929999999997</v>
      </c>
      <c r="V886" s="498">
        <f>V893+V889+V887+V895+V891</f>
        <v>572.32839999999999</v>
      </c>
      <c r="W886" s="310">
        <f t="shared" si="285"/>
        <v>0</v>
      </c>
      <c r="X886" s="310">
        <f t="shared" si="286"/>
        <v>0</v>
      </c>
    </row>
    <row r="887" spans="1:24" s="307" customFormat="1" ht="87" customHeight="1" x14ac:dyDescent="0.2">
      <c r="A887" s="746" t="s">
        <v>1024</v>
      </c>
      <c r="B887" s="306" t="s">
        <v>180</v>
      </c>
      <c r="C887" s="354" t="s">
        <v>8</v>
      </c>
      <c r="D887" s="354" t="s">
        <v>614</v>
      </c>
      <c r="E887" s="697" t="s">
        <v>1798</v>
      </c>
      <c r="F887" s="450"/>
      <c r="G887" s="591">
        <f>G888</f>
        <v>900.14</v>
      </c>
      <c r="H887" s="591">
        <f>H888</f>
        <v>812.28699999999992</v>
      </c>
      <c r="I887" s="591">
        <f>I888</f>
        <v>900.14</v>
      </c>
      <c r="J887" s="591">
        <f>J888</f>
        <v>812.28699999999992</v>
      </c>
      <c r="K887" s="591">
        <f t="shared" si="288"/>
        <v>0</v>
      </c>
      <c r="L887" s="591">
        <f t="shared" si="289"/>
        <v>0</v>
      </c>
      <c r="M887" s="217">
        <f t="shared" si="297"/>
        <v>0</v>
      </c>
      <c r="N887" s="292"/>
      <c r="R887" s="591">
        <f>R888</f>
        <v>0</v>
      </c>
      <c r="S887" s="591">
        <f>S888</f>
        <v>0</v>
      </c>
      <c r="T887" s="309">
        <f t="shared" si="303"/>
        <v>0</v>
      </c>
      <c r="U887" s="498">
        <f>U888</f>
        <v>634.22929999999997</v>
      </c>
      <c r="V887" s="498">
        <f>V888</f>
        <v>572.32839999999999</v>
      </c>
      <c r="W887" s="310">
        <f t="shared" si="285"/>
        <v>0</v>
      </c>
      <c r="X887" s="310">
        <f t="shared" si="286"/>
        <v>0</v>
      </c>
    </row>
    <row r="888" spans="1:24" ht="15" x14ac:dyDescent="0.2">
      <c r="A888" s="739" t="s">
        <v>125</v>
      </c>
      <c r="B888" s="243" t="s">
        <v>180</v>
      </c>
      <c r="C888" s="353" t="s">
        <v>8</v>
      </c>
      <c r="D888" s="353" t="s">
        <v>614</v>
      </c>
      <c r="E888" s="386" t="s">
        <v>1798</v>
      </c>
      <c r="F888" s="369" t="s">
        <v>123</v>
      </c>
      <c r="G888" s="288">
        <v>900.14</v>
      </c>
      <c r="H888" s="265">
        <v>812.28699999999992</v>
      </c>
      <c r="I888" s="288">
        <v>900.14</v>
      </c>
      <c r="J888" s="265">
        <v>812.28699999999992</v>
      </c>
      <c r="K888" s="43">
        <f t="shared" si="288"/>
        <v>0</v>
      </c>
      <c r="L888" s="43">
        <f t="shared" si="289"/>
        <v>0</v>
      </c>
      <c r="M888" s="217">
        <f t="shared" si="297"/>
        <v>0</v>
      </c>
      <c r="N888" s="42"/>
      <c r="R888" s="288"/>
      <c r="S888" s="265"/>
      <c r="T888" s="217">
        <f t="shared" si="303"/>
        <v>0</v>
      </c>
      <c r="U888" s="288">
        <v>634.22929999999997</v>
      </c>
      <c r="V888" s="265">
        <v>572.32839999999999</v>
      </c>
      <c r="W888" s="203">
        <f t="shared" si="285"/>
        <v>0</v>
      </c>
      <c r="X888" s="203">
        <f t="shared" si="286"/>
        <v>0</v>
      </c>
    </row>
    <row r="889" spans="1:24" s="307" customFormat="1" ht="25.5" hidden="1" x14ac:dyDescent="0.2">
      <c r="A889" s="451" t="s">
        <v>237</v>
      </c>
      <c r="B889" s="306" t="s">
        <v>180</v>
      </c>
      <c r="C889" s="354" t="s">
        <v>8</v>
      </c>
      <c r="D889" s="354" t="s">
        <v>614</v>
      </c>
      <c r="E889" s="450" t="s">
        <v>691</v>
      </c>
      <c r="F889" s="450"/>
      <c r="G889" s="498">
        <f>G890</f>
        <v>0</v>
      </c>
      <c r="H889" s="498">
        <f>H890</f>
        <v>0</v>
      </c>
      <c r="I889" s="591">
        <f>I890</f>
        <v>0</v>
      </c>
      <c r="J889" s="591">
        <f>J890</f>
        <v>0</v>
      </c>
      <c r="K889" s="591">
        <f t="shared" si="288"/>
        <v>0</v>
      </c>
      <c r="L889" s="591">
        <f t="shared" si="289"/>
        <v>0</v>
      </c>
      <c r="M889" s="217">
        <f t="shared" si="297"/>
        <v>0</v>
      </c>
      <c r="N889" s="292"/>
      <c r="R889" s="591">
        <f>R890</f>
        <v>0</v>
      </c>
      <c r="S889" s="591">
        <f>S890</f>
        <v>0</v>
      </c>
      <c r="T889" s="309">
        <f t="shared" si="303"/>
        <v>0</v>
      </c>
      <c r="U889" s="498">
        <f>U890</f>
        <v>0</v>
      </c>
      <c r="V889" s="498">
        <f>V890</f>
        <v>0</v>
      </c>
      <c r="W889" s="310">
        <f t="shared" si="285"/>
        <v>0</v>
      </c>
      <c r="X889" s="310">
        <f t="shared" si="286"/>
        <v>0</v>
      </c>
    </row>
    <row r="890" spans="1:24" ht="15" hidden="1" x14ac:dyDescent="0.2">
      <c r="A890" s="124" t="s">
        <v>125</v>
      </c>
      <c r="B890" s="243" t="s">
        <v>180</v>
      </c>
      <c r="C890" s="353" t="s">
        <v>8</v>
      </c>
      <c r="D890" s="353" t="s">
        <v>614</v>
      </c>
      <c r="E890" s="369" t="s">
        <v>691</v>
      </c>
      <c r="F890" s="369" t="s">
        <v>123</v>
      </c>
      <c r="G890" s="288">
        <v>0</v>
      </c>
      <c r="H890" s="288">
        <v>0</v>
      </c>
      <c r="I890" s="288">
        <v>0</v>
      </c>
      <c r="J890" s="288">
        <v>0</v>
      </c>
      <c r="K890" s="43">
        <f t="shared" si="288"/>
        <v>0</v>
      </c>
      <c r="L890" s="43">
        <f t="shared" si="289"/>
        <v>0</v>
      </c>
      <c r="M890" s="217">
        <f t="shared" si="297"/>
        <v>0</v>
      </c>
      <c r="N890" s="42"/>
      <c r="R890" s="288">
        <v>0</v>
      </c>
      <c r="S890" s="288">
        <v>0</v>
      </c>
      <c r="T890" s="217">
        <f t="shared" si="303"/>
        <v>0</v>
      </c>
      <c r="U890" s="288">
        <v>0</v>
      </c>
      <c r="V890" s="288">
        <v>0</v>
      </c>
      <c r="W890" s="203">
        <f t="shared" si="285"/>
        <v>0</v>
      </c>
      <c r="X890" s="203">
        <f t="shared" si="286"/>
        <v>0</v>
      </c>
    </row>
    <row r="891" spans="1:24" s="307" customFormat="1" ht="25.5" hidden="1" x14ac:dyDescent="0.2">
      <c r="A891" s="451" t="s">
        <v>237</v>
      </c>
      <c r="B891" s="306" t="s">
        <v>180</v>
      </c>
      <c r="C891" s="354" t="s">
        <v>8</v>
      </c>
      <c r="D891" s="354" t="s">
        <v>614</v>
      </c>
      <c r="E891" s="450" t="s">
        <v>757</v>
      </c>
      <c r="F891" s="450"/>
      <c r="G891" s="498">
        <f>G892</f>
        <v>0</v>
      </c>
      <c r="H891" s="498">
        <f>H892</f>
        <v>0</v>
      </c>
      <c r="I891" s="591">
        <f>I892</f>
        <v>0</v>
      </c>
      <c r="J891" s="591">
        <f>J892</f>
        <v>0</v>
      </c>
      <c r="K891" s="591">
        <f t="shared" si="288"/>
        <v>0</v>
      </c>
      <c r="L891" s="591">
        <f t="shared" si="289"/>
        <v>0</v>
      </c>
      <c r="M891" s="217">
        <f t="shared" si="297"/>
        <v>0</v>
      </c>
      <c r="N891" s="292"/>
      <c r="R891" s="591">
        <f>R892</f>
        <v>0</v>
      </c>
      <c r="S891" s="591">
        <f>S892</f>
        <v>0</v>
      </c>
      <c r="T891" s="309">
        <f t="shared" si="303"/>
        <v>0</v>
      </c>
      <c r="U891" s="498">
        <f>U892</f>
        <v>0</v>
      </c>
      <c r="V891" s="498">
        <f>V892</f>
        <v>0</v>
      </c>
      <c r="W891" s="310">
        <f t="shared" si="285"/>
        <v>0</v>
      </c>
      <c r="X891" s="310">
        <f t="shared" si="286"/>
        <v>0</v>
      </c>
    </row>
    <row r="892" spans="1:24" ht="15" hidden="1" x14ac:dyDescent="0.2">
      <c r="A892" s="124" t="s">
        <v>125</v>
      </c>
      <c r="B892" s="243" t="s">
        <v>180</v>
      </c>
      <c r="C892" s="353" t="s">
        <v>8</v>
      </c>
      <c r="D892" s="353" t="s">
        <v>614</v>
      </c>
      <c r="E892" s="369" t="s">
        <v>757</v>
      </c>
      <c r="F892" s="369" t="s">
        <v>123</v>
      </c>
      <c r="G892" s="288">
        <v>0</v>
      </c>
      <c r="H892" s="288">
        <v>0</v>
      </c>
      <c r="I892" s="288">
        <v>0</v>
      </c>
      <c r="J892" s="288">
        <v>0</v>
      </c>
      <c r="K892" s="43">
        <f t="shared" si="288"/>
        <v>0</v>
      </c>
      <c r="L892" s="43">
        <f t="shared" si="289"/>
        <v>0</v>
      </c>
      <c r="M892" s="217">
        <f t="shared" si="297"/>
        <v>0</v>
      </c>
      <c r="N892" s="42"/>
      <c r="R892" s="288">
        <v>0</v>
      </c>
      <c r="S892" s="288">
        <v>0</v>
      </c>
      <c r="T892" s="217">
        <f t="shared" si="303"/>
        <v>0</v>
      </c>
      <c r="U892" s="288">
        <v>0</v>
      </c>
      <c r="V892" s="288">
        <v>0</v>
      </c>
      <c r="W892" s="203">
        <f t="shared" si="285"/>
        <v>0</v>
      </c>
      <c r="X892" s="203">
        <f t="shared" si="286"/>
        <v>0</v>
      </c>
    </row>
    <row r="893" spans="1:24" s="307" customFormat="1" ht="15" hidden="1" x14ac:dyDescent="0.2">
      <c r="A893" s="451" t="s">
        <v>680</v>
      </c>
      <c r="B893" s="306" t="s">
        <v>180</v>
      </c>
      <c r="C893" s="354" t="s">
        <v>8</v>
      </c>
      <c r="D893" s="354" t="s">
        <v>614</v>
      </c>
      <c r="E893" s="450" t="s">
        <v>682</v>
      </c>
      <c r="F893" s="450"/>
      <c r="G893" s="498">
        <f>G894</f>
        <v>0</v>
      </c>
      <c r="H893" s="498">
        <f>H894</f>
        <v>0</v>
      </c>
      <c r="I893" s="591">
        <f>I894</f>
        <v>0</v>
      </c>
      <c r="J893" s="591">
        <f>J894</f>
        <v>0</v>
      </c>
      <c r="K893" s="591">
        <f t="shared" si="288"/>
        <v>0</v>
      </c>
      <c r="L893" s="591">
        <f t="shared" si="289"/>
        <v>0</v>
      </c>
      <c r="M893" s="217">
        <f t="shared" si="297"/>
        <v>0</v>
      </c>
      <c r="N893" s="292"/>
      <c r="O893" s="313"/>
      <c r="P893" s="313"/>
      <c r="Q893" s="313"/>
      <c r="R893" s="591">
        <f>R894</f>
        <v>0</v>
      </c>
      <c r="S893" s="591">
        <f>S894</f>
        <v>0</v>
      </c>
      <c r="T893" s="320">
        <f t="shared" si="303"/>
        <v>0</v>
      </c>
      <c r="U893" s="498">
        <f>U894</f>
        <v>0</v>
      </c>
      <c r="V893" s="498">
        <f>V894</f>
        <v>0</v>
      </c>
      <c r="W893" s="310">
        <f t="shared" si="285"/>
        <v>0</v>
      </c>
      <c r="X893" s="310">
        <f t="shared" si="286"/>
        <v>0</v>
      </c>
    </row>
    <row r="894" spans="1:24" ht="15" hidden="1" x14ac:dyDescent="0.2">
      <c r="A894" s="124" t="s">
        <v>125</v>
      </c>
      <c r="B894" s="243" t="s">
        <v>180</v>
      </c>
      <c r="C894" s="353" t="s">
        <v>8</v>
      </c>
      <c r="D894" s="353" t="s">
        <v>614</v>
      </c>
      <c r="E894" s="369" t="s">
        <v>682</v>
      </c>
      <c r="F894" s="369" t="s">
        <v>123</v>
      </c>
      <c r="G894" s="288">
        <v>0</v>
      </c>
      <c r="H894" s="288"/>
      <c r="I894" s="288">
        <v>0</v>
      </c>
      <c r="J894" s="288"/>
      <c r="K894" s="43">
        <f t="shared" si="288"/>
        <v>0</v>
      </c>
      <c r="L894" s="43">
        <f t="shared" si="289"/>
        <v>0</v>
      </c>
      <c r="M894" s="217">
        <f t="shared" si="297"/>
        <v>0</v>
      </c>
      <c r="N894" s="42"/>
      <c r="R894" s="288">
        <v>0</v>
      </c>
      <c r="S894" s="288"/>
      <c r="T894" s="217">
        <f t="shared" si="303"/>
        <v>0</v>
      </c>
      <c r="U894" s="288">
        <v>0</v>
      </c>
      <c r="V894" s="288"/>
      <c r="W894" s="203">
        <f t="shared" si="285"/>
        <v>0</v>
      </c>
      <c r="X894" s="203">
        <f t="shared" si="286"/>
        <v>0</v>
      </c>
    </row>
    <row r="895" spans="1:24" s="307" customFormat="1" ht="15" hidden="1" x14ac:dyDescent="0.2">
      <c r="A895" s="451" t="s">
        <v>680</v>
      </c>
      <c r="B895" s="306" t="s">
        <v>180</v>
      </c>
      <c r="C895" s="354" t="s">
        <v>8</v>
      </c>
      <c r="D895" s="354" t="s">
        <v>614</v>
      </c>
      <c r="E895" s="450" t="s">
        <v>758</v>
      </c>
      <c r="F895" s="450"/>
      <c r="G895" s="498">
        <f>G896</f>
        <v>0</v>
      </c>
      <c r="H895" s="498">
        <f>H896</f>
        <v>0</v>
      </c>
      <c r="I895" s="591">
        <f>I896</f>
        <v>0</v>
      </c>
      <c r="J895" s="591">
        <f>J896</f>
        <v>0</v>
      </c>
      <c r="K895" s="591">
        <f t="shared" si="288"/>
        <v>0</v>
      </c>
      <c r="L895" s="591">
        <f t="shared" si="289"/>
        <v>0</v>
      </c>
      <c r="M895" s="217">
        <f t="shared" si="297"/>
        <v>0</v>
      </c>
      <c r="N895" s="292"/>
      <c r="R895" s="591">
        <f>R896</f>
        <v>0</v>
      </c>
      <c r="S895" s="591">
        <f>S896</f>
        <v>0</v>
      </c>
      <c r="T895" s="309">
        <f t="shared" si="303"/>
        <v>0</v>
      </c>
      <c r="U895" s="498">
        <f>U896</f>
        <v>0</v>
      </c>
      <c r="V895" s="498">
        <f>V896</f>
        <v>0</v>
      </c>
      <c r="W895" s="310">
        <f t="shared" si="285"/>
        <v>0</v>
      </c>
      <c r="X895" s="310">
        <f t="shared" si="286"/>
        <v>0</v>
      </c>
    </row>
    <row r="896" spans="1:24" ht="15" hidden="1" x14ac:dyDescent="0.2">
      <c r="A896" s="124" t="s">
        <v>125</v>
      </c>
      <c r="B896" s="243" t="s">
        <v>180</v>
      </c>
      <c r="C896" s="353" t="s">
        <v>8</v>
      </c>
      <c r="D896" s="353" t="s">
        <v>614</v>
      </c>
      <c r="E896" s="369" t="s">
        <v>758</v>
      </c>
      <c r="F896" s="369" t="s">
        <v>123</v>
      </c>
      <c r="G896" s="288">
        <v>0</v>
      </c>
      <c r="H896" s="288"/>
      <c r="I896" s="288">
        <v>0</v>
      </c>
      <c r="J896" s="288"/>
      <c r="K896" s="43">
        <f t="shared" si="288"/>
        <v>0</v>
      </c>
      <c r="L896" s="43">
        <f t="shared" si="289"/>
        <v>0</v>
      </c>
      <c r="M896" s="217">
        <f t="shared" si="297"/>
        <v>0</v>
      </c>
      <c r="N896" s="42"/>
      <c r="R896" s="288">
        <v>0</v>
      </c>
      <c r="S896" s="288"/>
      <c r="T896" s="217">
        <f t="shared" si="303"/>
        <v>0</v>
      </c>
      <c r="U896" s="288">
        <v>0</v>
      </c>
      <c r="V896" s="288"/>
      <c r="W896" s="203">
        <f t="shared" si="285"/>
        <v>0</v>
      </c>
      <c r="X896" s="203">
        <f t="shared" si="286"/>
        <v>0</v>
      </c>
    </row>
    <row r="897" spans="1:24" s="307" customFormat="1" ht="15" x14ac:dyDescent="0.2">
      <c r="A897" s="746" t="s">
        <v>349</v>
      </c>
      <c r="B897" s="306" t="s">
        <v>180</v>
      </c>
      <c r="C897" s="354" t="s">
        <v>8</v>
      </c>
      <c r="D897" s="354" t="s">
        <v>614</v>
      </c>
      <c r="E897" s="450" t="s">
        <v>351</v>
      </c>
      <c r="F897" s="450"/>
      <c r="G897" s="591">
        <f>G903+G898+G964+G959</f>
        <v>630917.54046000005</v>
      </c>
      <c r="H897" s="591">
        <f>H903+H898+H964+H959</f>
        <v>64232.9</v>
      </c>
      <c r="I897" s="591">
        <f>I903+I898+I964+I959</f>
        <v>675313.14452000009</v>
      </c>
      <c r="J897" s="591">
        <f>J903+J898+J964+J959</f>
        <v>86910.8</v>
      </c>
      <c r="K897" s="591">
        <f t="shared" si="288"/>
        <v>44395.604060000041</v>
      </c>
      <c r="L897" s="591">
        <f t="shared" si="289"/>
        <v>22677.9</v>
      </c>
      <c r="M897" s="217">
        <f t="shared" si="297"/>
        <v>0</v>
      </c>
      <c r="N897" s="292" t="e">
        <f>N903</f>
        <v>#REF!</v>
      </c>
      <c r="R897" s="591" t="e">
        <f>R903+R898+R964+R959</f>
        <v>#REF!</v>
      </c>
      <c r="S897" s="591" t="e">
        <f>S903+S898+S964+S959</f>
        <v>#REF!</v>
      </c>
      <c r="T897" s="309">
        <f t="shared" si="303"/>
        <v>44395.604060000041</v>
      </c>
      <c r="U897" s="498" t="e">
        <f>U903+U898+U964+U959</f>
        <v>#REF!</v>
      </c>
      <c r="V897" s="498" t="e">
        <f>V903+V898+V964+V959</f>
        <v>#REF!</v>
      </c>
      <c r="W897" s="310">
        <f t="shared" si="285"/>
        <v>-44395.604060000041</v>
      </c>
      <c r="X897" s="310">
        <f t="shared" si="286"/>
        <v>0</v>
      </c>
    </row>
    <row r="898" spans="1:24" s="307" customFormat="1" ht="15" hidden="1" x14ac:dyDescent="0.2">
      <c r="A898" s="451" t="s">
        <v>350</v>
      </c>
      <c r="B898" s="306" t="s">
        <v>180</v>
      </c>
      <c r="C898" s="354" t="s">
        <v>8</v>
      </c>
      <c r="D898" s="354" t="s">
        <v>614</v>
      </c>
      <c r="E898" s="450" t="s">
        <v>352</v>
      </c>
      <c r="F898" s="450"/>
      <c r="G898" s="498">
        <f t="shared" ref="G898:J899" si="304">G899</f>
        <v>0</v>
      </c>
      <c r="H898" s="498">
        <f t="shared" si="304"/>
        <v>0</v>
      </c>
      <c r="I898" s="591">
        <f t="shared" si="304"/>
        <v>0</v>
      </c>
      <c r="J898" s="591">
        <f t="shared" si="304"/>
        <v>0</v>
      </c>
      <c r="K898" s="591">
        <f t="shared" si="288"/>
        <v>0</v>
      </c>
      <c r="L898" s="591">
        <f t="shared" si="289"/>
        <v>0</v>
      </c>
      <c r="M898" s="217">
        <f t="shared" si="297"/>
        <v>0</v>
      </c>
      <c r="N898" s="292"/>
      <c r="R898" s="591">
        <f>R899</f>
        <v>0</v>
      </c>
      <c r="S898" s="591">
        <f>S899</f>
        <v>0</v>
      </c>
      <c r="T898" s="309">
        <f t="shared" si="303"/>
        <v>0</v>
      </c>
      <c r="U898" s="498">
        <f>U899</f>
        <v>0</v>
      </c>
      <c r="V898" s="498">
        <f>V899</f>
        <v>0</v>
      </c>
      <c r="W898" s="310">
        <f t="shared" si="285"/>
        <v>0</v>
      </c>
      <c r="X898" s="310">
        <f t="shared" si="286"/>
        <v>0</v>
      </c>
    </row>
    <row r="899" spans="1:24" s="307" customFormat="1" ht="15" hidden="1" x14ac:dyDescent="0.2">
      <c r="A899" s="451" t="s">
        <v>360</v>
      </c>
      <c r="B899" s="306" t="s">
        <v>180</v>
      </c>
      <c r="C899" s="354" t="s">
        <v>8</v>
      </c>
      <c r="D899" s="354" t="s">
        <v>614</v>
      </c>
      <c r="E899" s="450" t="s">
        <v>359</v>
      </c>
      <c r="F899" s="450"/>
      <c r="G899" s="498">
        <f t="shared" si="304"/>
        <v>0</v>
      </c>
      <c r="H899" s="498">
        <f t="shared" si="304"/>
        <v>0</v>
      </c>
      <c r="I899" s="591">
        <f t="shared" si="304"/>
        <v>0</v>
      </c>
      <c r="J899" s="591">
        <f t="shared" si="304"/>
        <v>0</v>
      </c>
      <c r="K899" s="591">
        <f t="shared" si="288"/>
        <v>0</v>
      </c>
      <c r="L899" s="591">
        <f t="shared" si="289"/>
        <v>0</v>
      </c>
      <c r="M899" s="217">
        <f t="shared" si="297"/>
        <v>0</v>
      </c>
      <c r="N899" s="292"/>
      <c r="R899" s="591">
        <f>R900</f>
        <v>0</v>
      </c>
      <c r="S899" s="591">
        <f>S900</f>
        <v>0</v>
      </c>
      <c r="T899" s="309">
        <f t="shared" si="303"/>
        <v>0</v>
      </c>
      <c r="U899" s="498">
        <f>U900</f>
        <v>0</v>
      </c>
      <c r="V899" s="498">
        <f>V900</f>
        <v>0</v>
      </c>
      <c r="W899" s="310">
        <f t="shared" si="285"/>
        <v>0</v>
      </c>
      <c r="X899" s="310">
        <f t="shared" si="286"/>
        <v>0</v>
      </c>
    </row>
    <row r="900" spans="1:24" s="307" customFormat="1" ht="15" hidden="1" x14ac:dyDescent="0.2">
      <c r="A900" s="451" t="s">
        <v>61</v>
      </c>
      <c r="B900" s="306" t="s">
        <v>180</v>
      </c>
      <c r="C900" s="354" t="s">
        <v>8</v>
      </c>
      <c r="D900" s="354" t="s">
        <v>614</v>
      </c>
      <c r="E900" s="450" t="s">
        <v>361</v>
      </c>
      <c r="F900" s="450"/>
      <c r="G900" s="498">
        <f>G901+G902</f>
        <v>0</v>
      </c>
      <c r="H900" s="498">
        <f>H901+H902</f>
        <v>0</v>
      </c>
      <c r="I900" s="591">
        <f>I901+I902</f>
        <v>0</v>
      </c>
      <c r="J900" s="591">
        <f>J901+J902</f>
        <v>0</v>
      </c>
      <c r="K900" s="591">
        <f t="shared" si="288"/>
        <v>0</v>
      </c>
      <c r="L900" s="591">
        <f t="shared" si="289"/>
        <v>0</v>
      </c>
      <c r="M900" s="217">
        <f t="shared" si="297"/>
        <v>0</v>
      </c>
      <c r="N900" s="292"/>
      <c r="R900" s="591">
        <f>R901+R902</f>
        <v>0</v>
      </c>
      <c r="S900" s="591">
        <f>S901+S902</f>
        <v>0</v>
      </c>
      <c r="T900" s="309">
        <f t="shared" si="303"/>
        <v>0</v>
      </c>
      <c r="U900" s="498">
        <f>U901+U902</f>
        <v>0</v>
      </c>
      <c r="V900" s="498">
        <f>V901+V902</f>
        <v>0</v>
      </c>
      <c r="W900" s="310">
        <f t="shared" si="285"/>
        <v>0</v>
      </c>
      <c r="X900" s="310">
        <f t="shared" si="286"/>
        <v>0</v>
      </c>
    </row>
    <row r="901" spans="1:24" ht="25.5" hidden="1" x14ac:dyDescent="0.2">
      <c r="A901" s="124" t="s">
        <v>648</v>
      </c>
      <c r="B901" s="243" t="s">
        <v>180</v>
      </c>
      <c r="C901" s="353" t="s">
        <v>8</v>
      </c>
      <c r="D901" s="353" t="s">
        <v>614</v>
      </c>
      <c r="E901" s="369" t="s">
        <v>361</v>
      </c>
      <c r="F901" s="369" t="s">
        <v>127</v>
      </c>
      <c r="G901" s="288">
        <v>0</v>
      </c>
      <c r="H901" s="288">
        <v>0</v>
      </c>
      <c r="I901" s="288">
        <v>0</v>
      </c>
      <c r="J901" s="288">
        <v>0</v>
      </c>
      <c r="K901" s="43">
        <f t="shared" si="288"/>
        <v>0</v>
      </c>
      <c r="L901" s="43">
        <f t="shared" si="289"/>
        <v>0</v>
      </c>
      <c r="M901" s="217">
        <f t="shared" si="297"/>
        <v>0</v>
      </c>
      <c r="N901" s="42"/>
      <c r="R901" s="288">
        <v>0</v>
      </c>
      <c r="S901" s="288">
        <v>0</v>
      </c>
      <c r="T901" s="217">
        <f t="shared" si="303"/>
        <v>0</v>
      </c>
      <c r="U901" s="288">
        <v>0</v>
      </c>
      <c r="V901" s="288">
        <v>0</v>
      </c>
      <c r="W901" s="203">
        <f t="shared" si="285"/>
        <v>0</v>
      </c>
      <c r="X901" s="203">
        <f t="shared" si="286"/>
        <v>0</v>
      </c>
    </row>
    <row r="902" spans="1:24" ht="25.5" hidden="1" x14ac:dyDescent="0.2">
      <c r="A902" s="124" t="s">
        <v>646</v>
      </c>
      <c r="B902" s="243" t="s">
        <v>180</v>
      </c>
      <c r="C902" s="353" t="s">
        <v>8</v>
      </c>
      <c r="D902" s="353" t="s">
        <v>614</v>
      </c>
      <c r="E902" s="369" t="s">
        <v>361</v>
      </c>
      <c r="F902" s="369" t="s">
        <v>128</v>
      </c>
      <c r="G902" s="288">
        <v>0</v>
      </c>
      <c r="H902" s="288"/>
      <c r="I902" s="288">
        <v>0</v>
      </c>
      <c r="J902" s="288"/>
      <c r="K902" s="43">
        <f t="shared" si="288"/>
        <v>0</v>
      </c>
      <c r="L902" s="43">
        <f t="shared" si="289"/>
        <v>0</v>
      </c>
      <c r="M902" s="217">
        <f t="shared" si="297"/>
        <v>0</v>
      </c>
      <c r="N902" s="42"/>
      <c r="R902" s="288">
        <v>0</v>
      </c>
      <c r="S902" s="288"/>
      <c r="T902" s="217">
        <f t="shared" si="303"/>
        <v>0</v>
      </c>
      <c r="U902" s="288">
        <v>0</v>
      </c>
      <c r="V902" s="288"/>
      <c r="W902" s="203">
        <f t="shared" si="285"/>
        <v>0</v>
      </c>
      <c r="X902" s="203">
        <f t="shared" si="286"/>
        <v>0</v>
      </c>
    </row>
    <row r="903" spans="1:24" s="307" customFormat="1" ht="15" x14ac:dyDescent="0.2">
      <c r="A903" s="746" t="s">
        <v>353</v>
      </c>
      <c r="B903" s="306" t="s">
        <v>180</v>
      </c>
      <c r="C903" s="354" t="s">
        <v>8</v>
      </c>
      <c r="D903" s="354" t="s">
        <v>614</v>
      </c>
      <c r="E903" s="450" t="s">
        <v>354</v>
      </c>
      <c r="F903" s="450"/>
      <c r="G903" s="591">
        <f>G904+G951</f>
        <v>630204.24046</v>
      </c>
      <c r="H903" s="591">
        <f>H904+H951</f>
        <v>64232.9</v>
      </c>
      <c r="I903" s="591">
        <f>I904+I951</f>
        <v>675094.04452000011</v>
      </c>
      <c r="J903" s="591">
        <f>J904+J951</f>
        <v>86910.8</v>
      </c>
      <c r="K903" s="591">
        <f t="shared" si="288"/>
        <v>44889.804060000111</v>
      </c>
      <c r="L903" s="591">
        <f t="shared" si="289"/>
        <v>22677.9</v>
      </c>
      <c r="M903" s="217">
        <f t="shared" si="297"/>
        <v>0</v>
      </c>
      <c r="N903" s="292" t="e">
        <f>N904+#REF!+#REF!</f>
        <v>#REF!</v>
      </c>
      <c r="R903" s="591" t="e">
        <f>R904+#REF!+#REF!+R955+#REF!</f>
        <v>#REF!</v>
      </c>
      <c r="S903" s="591" t="e">
        <f>S904+#REF!+#REF!+S955+#REF!</f>
        <v>#REF!</v>
      </c>
      <c r="T903" s="309">
        <f t="shared" si="303"/>
        <v>44889.804060000111</v>
      </c>
      <c r="U903" s="498" t="e">
        <f>U904+#REF!+#REF!+U955</f>
        <v>#REF!</v>
      </c>
      <c r="V903" s="498" t="e">
        <f>V904+#REF!+#REF!+V955</f>
        <v>#REF!</v>
      </c>
      <c r="W903" s="310">
        <f t="shared" si="285"/>
        <v>-44889.804060000111</v>
      </c>
      <c r="X903" s="310">
        <f t="shared" si="286"/>
        <v>0</v>
      </c>
    </row>
    <row r="904" spans="1:24" s="307" customFormat="1" ht="25.5" x14ac:dyDescent="0.2">
      <c r="A904" s="746" t="s">
        <v>1301</v>
      </c>
      <c r="B904" s="306" t="s">
        <v>180</v>
      </c>
      <c r="C904" s="354" t="s">
        <v>8</v>
      </c>
      <c r="D904" s="354" t="s">
        <v>614</v>
      </c>
      <c r="E904" s="450" t="s">
        <v>355</v>
      </c>
      <c r="F904" s="450"/>
      <c r="G904" s="591">
        <f>G913+G916+G905+G940+G943+G946+G928+G948+G910+G922+G934+G937+G919+G931+G925</f>
        <v>626114.04046000005</v>
      </c>
      <c r="H904" s="591">
        <f t="shared" ref="H904:L904" si="305">H913+H916+H905+H940+H943+H946+H928+H948+H910+H922+H934+H937+H919+H931+H925</f>
        <v>60224.5</v>
      </c>
      <c r="I904" s="591">
        <f t="shared" si="305"/>
        <v>671003.84452000016</v>
      </c>
      <c r="J904" s="591">
        <f t="shared" si="305"/>
        <v>82902.400000000009</v>
      </c>
      <c r="K904" s="591">
        <f t="shared" si="305"/>
        <v>44889.804060000009</v>
      </c>
      <c r="L904" s="591">
        <f t="shared" si="305"/>
        <v>22677.899999999998</v>
      </c>
      <c r="M904" s="217">
        <f t="shared" si="297"/>
        <v>1.0186340659856796E-10</v>
      </c>
      <c r="N904" s="292">
        <f>N913+N916+N905</f>
        <v>219391.88900000002</v>
      </c>
      <c r="R904" s="591">
        <f>R913+R916+R905+R940+R943+R946+R928+R948+R910+R922+R934+R937+R919+R931</f>
        <v>511609.68654000002</v>
      </c>
      <c r="S904" s="591">
        <f>S913+S916+S905+S940+S943+S946+S928+S948+S910+S922+S934+S937+S919+S931</f>
        <v>53410.5</v>
      </c>
      <c r="T904" s="309">
        <f t="shared" si="303"/>
        <v>44889.804060000111</v>
      </c>
      <c r="U904" s="498">
        <f>U913+U916+U905+U940+U943+U946+U928+U948+U910+U922+U934+U937+U919+U931</f>
        <v>451607.21980000008</v>
      </c>
      <c r="V904" s="498">
        <f>V913+V916+V905+V940+V943+V946+V928+V948+V910+V922+V934+V937+V919+V931</f>
        <v>52936.33600000001</v>
      </c>
      <c r="W904" s="310">
        <f t="shared" si="285"/>
        <v>-44889.804060000111</v>
      </c>
      <c r="X904" s="310">
        <f t="shared" si="286"/>
        <v>-1.0186340659856796E-10</v>
      </c>
    </row>
    <row r="905" spans="1:24" s="307" customFormat="1" ht="17.25" customHeight="1" x14ac:dyDescent="0.2">
      <c r="A905" s="746" t="s">
        <v>39</v>
      </c>
      <c r="B905" s="306" t="s">
        <v>180</v>
      </c>
      <c r="C905" s="354" t="s">
        <v>8</v>
      </c>
      <c r="D905" s="354" t="s">
        <v>614</v>
      </c>
      <c r="E905" s="450" t="s">
        <v>565</v>
      </c>
      <c r="F905" s="450"/>
      <c r="G905" s="591">
        <f>SUM(G906:G909)</f>
        <v>21940.481959999997</v>
      </c>
      <c r="H905" s="591">
        <f>SUM(H906:H908)</f>
        <v>0</v>
      </c>
      <c r="I905" s="591">
        <f>SUM(I906:I909)</f>
        <v>21717.051769999998</v>
      </c>
      <c r="J905" s="591">
        <f>SUM(J906:J908)</f>
        <v>0</v>
      </c>
      <c r="K905" s="591">
        <f t="shared" si="288"/>
        <v>-223.43018999999913</v>
      </c>
      <c r="L905" s="591">
        <f t="shared" si="289"/>
        <v>0</v>
      </c>
      <c r="M905" s="217">
        <f t="shared" si="297"/>
        <v>0</v>
      </c>
      <c r="N905" s="308">
        <f>N906+N908</f>
        <v>22479.188999999998</v>
      </c>
      <c r="R905" s="591">
        <f>SUM(R906:R908)</f>
        <v>30882.129540000002</v>
      </c>
      <c r="S905" s="591">
        <f>SUM(S906:S908)</f>
        <v>0</v>
      </c>
      <c r="T905" s="309">
        <f t="shared" si="303"/>
        <v>-223.43018999999913</v>
      </c>
      <c r="U905" s="498">
        <f>SUM(U906:U908)</f>
        <v>18829.504570000001</v>
      </c>
      <c r="V905" s="498">
        <f>SUM(V906:V908)</f>
        <v>0</v>
      </c>
      <c r="W905" s="310">
        <f t="shared" si="285"/>
        <v>223.43018999999913</v>
      </c>
      <c r="X905" s="310">
        <f t="shared" si="286"/>
        <v>0</v>
      </c>
    </row>
    <row r="906" spans="1:24" ht="25.5" x14ac:dyDescent="0.2">
      <c r="A906" s="739" t="s">
        <v>648</v>
      </c>
      <c r="B906" s="243" t="s">
        <v>180</v>
      </c>
      <c r="C906" s="353" t="s">
        <v>8</v>
      </c>
      <c r="D906" s="353" t="s">
        <v>614</v>
      </c>
      <c r="E906" s="369" t="s">
        <v>565</v>
      </c>
      <c r="F906" s="369" t="s">
        <v>127</v>
      </c>
      <c r="G906" s="288">
        <v>4359.2759900000001</v>
      </c>
      <c r="H906" s="288"/>
      <c r="I906" s="288">
        <v>4057.4404500000001</v>
      </c>
      <c r="J906" s="288"/>
      <c r="K906" s="43">
        <f t="shared" si="288"/>
        <v>-301.83554000000004</v>
      </c>
      <c r="L906" s="43">
        <f t="shared" si="289"/>
        <v>0</v>
      </c>
      <c r="M906" s="217">
        <f t="shared" si="297"/>
        <v>0</v>
      </c>
      <c r="N906" s="171">
        <v>5268.6360000000004</v>
      </c>
      <c r="P906" s="171">
        <v>5083.9939999999997</v>
      </c>
      <c r="Q906" s="245"/>
      <c r="R906" s="288">
        <v>7369.76404</v>
      </c>
      <c r="S906" s="288"/>
      <c r="T906" s="217">
        <f t="shared" si="303"/>
        <v>-301.83554000000004</v>
      </c>
      <c r="U906" s="288">
        <v>6971.3430099999996</v>
      </c>
      <c r="V906" s="288">
        <v>0</v>
      </c>
      <c r="W906" s="203">
        <f t="shared" si="285"/>
        <v>301.83554000000004</v>
      </c>
      <c r="X906" s="203">
        <f t="shared" si="286"/>
        <v>0</v>
      </c>
    </row>
    <row r="907" spans="1:24" ht="15" x14ac:dyDescent="0.2">
      <c r="A907" s="739" t="s">
        <v>125</v>
      </c>
      <c r="B907" s="243" t="s">
        <v>180</v>
      </c>
      <c r="C907" s="353" t="s">
        <v>8</v>
      </c>
      <c r="D907" s="353" t="s">
        <v>614</v>
      </c>
      <c r="E907" s="369" t="s">
        <v>565</v>
      </c>
      <c r="F907" s="369">
        <v>612</v>
      </c>
      <c r="G907" s="288">
        <v>45</v>
      </c>
      <c r="H907" s="288"/>
      <c r="I907" s="288">
        <v>45</v>
      </c>
      <c r="J907" s="288"/>
      <c r="K907" s="43">
        <f t="shared" si="288"/>
        <v>0</v>
      </c>
      <c r="L907" s="43">
        <f t="shared" si="289"/>
        <v>0</v>
      </c>
      <c r="M907" s="217"/>
      <c r="N907" s="171"/>
      <c r="P907" s="171"/>
      <c r="Q907" s="245"/>
      <c r="R907" s="288"/>
      <c r="S907" s="288"/>
      <c r="T907" s="217"/>
      <c r="U907" s="288"/>
      <c r="V907" s="288"/>
      <c r="W907" s="203"/>
      <c r="X907" s="203"/>
    </row>
    <row r="908" spans="1:24" ht="25.5" x14ac:dyDescent="0.2">
      <c r="A908" s="739" t="s">
        <v>646</v>
      </c>
      <c r="B908" s="243" t="s">
        <v>180</v>
      </c>
      <c r="C908" s="353" t="s">
        <v>8</v>
      </c>
      <c r="D908" s="353" t="s">
        <v>614</v>
      </c>
      <c r="E908" s="369" t="s">
        <v>565</v>
      </c>
      <c r="F908" s="369" t="s">
        <v>128</v>
      </c>
      <c r="G908" s="288">
        <v>17431.205969999999</v>
      </c>
      <c r="H908" s="288"/>
      <c r="I908" s="288">
        <v>17509.61132</v>
      </c>
      <c r="J908" s="288"/>
      <c r="K908" s="43">
        <f t="shared" si="288"/>
        <v>78.405350000000908</v>
      </c>
      <c r="L908" s="43">
        <f t="shared" si="289"/>
        <v>0</v>
      </c>
      <c r="M908" s="217">
        <f t="shared" si="297"/>
        <v>0</v>
      </c>
      <c r="N908" s="171">
        <v>17210.553</v>
      </c>
      <c r="P908" s="171">
        <v>17888.124</v>
      </c>
      <c r="Q908" s="245"/>
      <c r="R908" s="288">
        <v>23512.3655</v>
      </c>
      <c r="S908" s="288"/>
      <c r="T908" s="217">
        <f t="shared" si="303"/>
        <v>78.405350000000908</v>
      </c>
      <c r="U908" s="288">
        <v>11858.16156</v>
      </c>
      <c r="V908" s="288">
        <v>0</v>
      </c>
      <c r="W908" s="203">
        <f t="shared" si="285"/>
        <v>-78.405350000000908</v>
      </c>
      <c r="X908" s="203">
        <f t="shared" si="286"/>
        <v>0</v>
      </c>
    </row>
    <row r="909" spans="1:24" ht="15" x14ac:dyDescent="0.2">
      <c r="A909" s="739" t="s">
        <v>126</v>
      </c>
      <c r="B909" s="243" t="s">
        <v>180</v>
      </c>
      <c r="C909" s="353" t="s">
        <v>8</v>
      </c>
      <c r="D909" s="353" t="s">
        <v>614</v>
      </c>
      <c r="E909" s="369" t="s">
        <v>565</v>
      </c>
      <c r="F909" s="369" t="s">
        <v>124</v>
      </c>
      <c r="G909" s="288">
        <v>105</v>
      </c>
      <c r="H909" s="288"/>
      <c r="I909" s="288">
        <v>105</v>
      </c>
      <c r="J909" s="288"/>
      <c r="K909" s="43">
        <f t="shared" si="288"/>
        <v>0</v>
      </c>
      <c r="L909" s="43">
        <f t="shared" si="289"/>
        <v>0</v>
      </c>
      <c r="M909" s="217">
        <f t="shared" si="297"/>
        <v>0</v>
      </c>
      <c r="N909" s="171"/>
      <c r="P909" s="245"/>
      <c r="Q909" s="245"/>
      <c r="R909" s="288"/>
      <c r="S909" s="288"/>
      <c r="T909" s="217">
        <f t="shared" si="303"/>
        <v>0</v>
      </c>
      <c r="U909" s="288"/>
      <c r="V909" s="288"/>
      <c r="W909" s="203">
        <f t="shared" si="285"/>
        <v>0</v>
      </c>
      <c r="X909" s="203"/>
    </row>
    <row r="910" spans="1:24" ht="66" customHeight="1" x14ac:dyDescent="0.2">
      <c r="A910" s="746" t="s">
        <v>1942</v>
      </c>
      <c r="B910" s="306" t="s">
        <v>180</v>
      </c>
      <c r="C910" s="354" t="s">
        <v>8</v>
      </c>
      <c r="D910" s="354" t="s">
        <v>614</v>
      </c>
      <c r="E910" s="719" t="s">
        <v>1943</v>
      </c>
      <c r="F910" s="450"/>
      <c r="G910" s="591">
        <f>G911+G912</f>
        <v>38448.400000000001</v>
      </c>
      <c r="H910" s="591">
        <f>H911+H912</f>
        <v>38448.400000000001</v>
      </c>
      <c r="I910" s="591">
        <f>I911+I912</f>
        <v>60579.5</v>
      </c>
      <c r="J910" s="591">
        <f>J911+J912</f>
        <v>60579.5</v>
      </c>
      <c r="K910" s="591">
        <f t="shared" si="288"/>
        <v>22131.1</v>
      </c>
      <c r="L910" s="591">
        <f t="shared" si="289"/>
        <v>22131.1</v>
      </c>
      <c r="M910" s="217">
        <f t="shared" si="297"/>
        <v>0</v>
      </c>
      <c r="N910" s="171"/>
      <c r="P910" s="245"/>
      <c r="Q910" s="245"/>
      <c r="R910" s="591">
        <f>R911+R912</f>
        <v>32665.9</v>
      </c>
      <c r="S910" s="591">
        <f>S911+S912</f>
        <v>32665.9</v>
      </c>
      <c r="T910" s="217"/>
      <c r="U910" s="498">
        <f>U911+U912</f>
        <v>33458.600000000006</v>
      </c>
      <c r="V910" s="498">
        <f>V911+V912</f>
        <v>33458.600000000006</v>
      </c>
      <c r="W910" s="203"/>
      <c r="X910" s="203"/>
    </row>
    <row r="911" spans="1:24" ht="15" x14ac:dyDescent="0.2">
      <c r="A911" s="739" t="s">
        <v>125</v>
      </c>
      <c r="B911" s="243" t="s">
        <v>180</v>
      </c>
      <c r="C911" s="353" t="s">
        <v>8</v>
      </c>
      <c r="D911" s="353" t="s">
        <v>614</v>
      </c>
      <c r="E911" s="369" t="s">
        <v>1943</v>
      </c>
      <c r="F911" s="369" t="s">
        <v>123</v>
      </c>
      <c r="G911" s="288">
        <f>7414.392+1068.885</f>
        <v>8483.277</v>
      </c>
      <c r="H911" s="288">
        <v>8483.277</v>
      </c>
      <c r="I911" s="288">
        <v>12699.946480000001</v>
      </c>
      <c r="J911" s="288">
        <v>12699.946480000001</v>
      </c>
      <c r="K911" s="43">
        <f t="shared" si="288"/>
        <v>4216.6694800000005</v>
      </c>
      <c r="L911" s="43">
        <f t="shared" si="289"/>
        <v>4216.6694800000005</v>
      </c>
      <c r="M911" s="217">
        <f t="shared" si="297"/>
        <v>0</v>
      </c>
      <c r="N911" s="171"/>
      <c r="P911" s="245"/>
      <c r="Q911" s="245"/>
      <c r="R911" s="288">
        <v>7508.3720499999999</v>
      </c>
      <c r="S911" s="288">
        <v>7508.3720499999999</v>
      </c>
      <c r="T911" s="217"/>
      <c r="U911" s="288">
        <v>8125.9344600000004</v>
      </c>
      <c r="V911" s="265">
        <v>8125.9344600000004</v>
      </c>
      <c r="W911" s="203"/>
      <c r="X911" s="203"/>
    </row>
    <row r="912" spans="1:24" ht="15" x14ac:dyDescent="0.2">
      <c r="A912" s="739" t="s">
        <v>126</v>
      </c>
      <c r="B912" s="243" t="s">
        <v>180</v>
      </c>
      <c r="C912" s="353" t="s">
        <v>8</v>
      </c>
      <c r="D912" s="353" t="s">
        <v>614</v>
      </c>
      <c r="E912" s="369" t="s">
        <v>1943</v>
      </c>
      <c r="F912" s="369" t="s">
        <v>124</v>
      </c>
      <c r="G912" s="288">
        <f>25513.208+4451.915</f>
        <v>29965.123</v>
      </c>
      <c r="H912" s="288">
        <v>29965.123</v>
      </c>
      <c r="I912" s="288">
        <v>47879.553520000001</v>
      </c>
      <c r="J912" s="288">
        <v>47879.553520000001</v>
      </c>
      <c r="K912" s="43">
        <f t="shared" ref="K912:K978" si="306">I912-G912</f>
        <v>17914.430520000002</v>
      </c>
      <c r="L912" s="43">
        <f t="shared" ref="L912:L978" si="307">J912-H912</f>
        <v>17914.430520000002</v>
      </c>
      <c r="M912" s="217">
        <f t="shared" si="297"/>
        <v>0</v>
      </c>
      <c r="N912" s="171"/>
      <c r="P912" s="245"/>
      <c r="Q912" s="245"/>
      <c r="R912" s="288">
        <v>25157.52795</v>
      </c>
      <c r="S912" s="288">
        <v>25157.52795</v>
      </c>
      <c r="T912" s="217"/>
      <c r="U912" s="288">
        <v>25332.665540000002</v>
      </c>
      <c r="V912" s="265">
        <v>25332.665540000002</v>
      </c>
      <c r="W912" s="203"/>
      <c r="X912" s="203"/>
    </row>
    <row r="913" spans="1:24" s="307" customFormat="1" ht="42" customHeight="1" x14ac:dyDescent="0.2">
      <c r="A913" s="746" t="s">
        <v>932</v>
      </c>
      <c r="B913" s="306" t="s">
        <v>180</v>
      </c>
      <c r="C913" s="354" t="s">
        <v>8</v>
      </c>
      <c r="D913" s="354" t="s">
        <v>614</v>
      </c>
      <c r="E913" s="450" t="s">
        <v>357</v>
      </c>
      <c r="F913" s="450"/>
      <c r="G913" s="591">
        <f>G914+G915</f>
        <v>326834</v>
      </c>
      <c r="H913" s="591">
        <f>H914+H915</f>
        <v>0</v>
      </c>
      <c r="I913" s="591">
        <f>I914+I915</f>
        <v>326834</v>
      </c>
      <c r="J913" s="591">
        <f>J914+J915</f>
        <v>0</v>
      </c>
      <c r="K913" s="591">
        <f t="shared" si="306"/>
        <v>0</v>
      </c>
      <c r="L913" s="591">
        <f t="shared" si="307"/>
        <v>0</v>
      </c>
      <c r="M913" s="217">
        <f t="shared" si="297"/>
        <v>0</v>
      </c>
      <c r="N913" s="292">
        <f>N914+N915</f>
        <v>191685.2</v>
      </c>
      <c r="R913" s="591">
        <f>R914+R915</f>
        <v>276596.8</v>
      </c>
      <c r="S913" s="591">
        <f>S914+S915</f>
        <v>0</v>
      </c>
      <c r="T913" s="309">
        <f t="shared" ref="T913:T918" si="308">I913-G913</f>
        <v>0</v>
      </c>
      <c r="U913" s="498">
        <f>U914+U915</f>
        <v>224822</v>
      </c>
      <c r="V913" s="498">
        <f>V914+V915</f>
        <v>0</v>
      </c>
      <c r="W913" s="310">
        <f t="shared" si="285"/>
        <v>0</v>
      </c>
      <c r="X913" s="310">
        <f t="shared" si="286"/>
        <v>0</v>
      </c>
    </row>
    <row r="914" spans="1:24" ht="25.5" x14ac:dyDescent="0.2">
      <c r="A914" s="739" t="s">
        <v>648</v>
      </c>
      <c r="B914" s="243" t="s">
        <v>180</v>
      </c>
      <c r="C914" s="353" t="s">
        <v>8</v>
      </c>
      <c r="D914" s="353" t="s">
        <v>614</v>
      </c>
      <c r="E914" s="369" t="s">
        <v>357</v>
      </c>
      <c r="F914" s="369" t="s">
        <v>127</v>
      </c>
      <c r="G914" s="288">
        <v>71473.985750000007</v>
      </c>
      <c r="H914" s="288"/>
      <c r="I914" s="288">
        <v>71473.985750000007</v>
      </c>
      <c r="J914" s="288"/>
      <c r="K914" s="43">
        <f t="shared" si="306"/>
        <v>0</v>
      </c>
      <c r="L914" s="43">
        <f t="shared" si="307"/>
        <v>0</v>
      </c>
      <c r="M914" s="217">
        <f t="shared" si="297"/>
        <v>0</v>
      </c>
      <c r="N914" s="43">
        <v>88856.589000000007</v>
      </c>
      <c r="P914" s="167">
        <v>49886.129773689347</v>
      </c>
      <c r="R914" s="288">
        <v>60140.249129999997</v>
      </c>
      <c r="S914" s="288"/>
      <c r="T914" s="217">
        <f t="shared" si="308"/>
        <v>0</v>
      </c>
      <c r="U914" s="288">
        <v>54096.384559999999</v>
      </c>
      <c r="V914" s="288">
        <v>0</v>
      </c>
      <c r="W914" s="203">
        <f t="shared" si="285"/>
        <v>0</v>
      </c>
      <c r="X914" s="203">
        <f t="shared" si="286"/>
        <v>0</v>
      </c>
    </row>
    <row r="915" spans="1:24" ht="25.5" x14ac:dyDescent="0.2">
      <c r="A915" s="739" t="s">
        <v>646</v>
      </c>
      <c r="B915" s="243" t="s">
        <v>180</v>
      </c>
      <c r="C915" s="353" t="s">
        <v>8</v>
      </c>
      <c r="D915" s="353" t="s">
        <v>614</v>
      </c>
      <c r="E915" s="369" t="s">
        <v>357</v>
      </c>
      <c r="F915" s="369" t="s">
        <v>128</v>
      </c>
      <c r="G915" s="288">
        <v>255360.01425000001</v>
      </c>
      <c r="H915" s="288"/>
      <c r="I915" s="288">
        <v>255360.01425000001</v>
      </c>
      <c r="J915" s="288"/>
      <c r="K915" s="43">
        <f t="shared" si="306"/>
        <v>0</v>
      </c>
      <c r="L915" s="43">
        <f t="shared" si="307"/>
        <v>0</v>
      </c>
      <c r="M915" s="217">
        <f t="shared" si="297"/>
        <v>0</v>
      </c>
      <c r="N915" s="43">
        <v>102828.611</v>
      </c>
      <c r="P915" s="167">
        <v>157938.4702250704</v>
      </c>
      <c r="R915" s="288">
        <v>216456.55087000001</v>
      </c>
      <c r="S915" s="288"/>
      <c r="T915" s="217">
        <f t="shared" si="308"/>
        <v>0</v>
      </c>
      <c r="U915" s="288">
        <v>170725.61543999999</v>
      </c>
      <c r="V915" s="288">
        <v>0</v>
      </c>
      <c r="W915" s="203">
        <f t="shared" si="285"/>
        <v>0</v>
      </c>
      <c r="X915" s="203">
        <f t="shared" si="286"/>
        <v>0</v>
      </c>
    </row>
    <row r="916" spans="1:24" s="307" customFormat="1" ht="40.5" customHeight="1" x14ac:dyDescent="0.2">
      <c r="A916" s="746" t="s">
        <v>931</v>
      </c>
      <c r="B916" s="306" t="s">
        <v>180</v>
      </c>
      <c r="C916" s="354" t="s">
        <v>8</v>
      </c>
      <c r="D916" s="354" t="s">
        <v>614</v>
      </c>
      <c r="E916" s="450" t="s">
        <v>358</v>
      </c>
      <c r="F916" s="450"/>
      <c r="G916" s="591">
        <f>G917+G918</f>
        <v>4963.5</v>
      </c>
      <c r="H916" s="591">
        <f>H917+H918</f>
        <v>0</v>
      </c>
      <c r="I916" s="591">
        <f>I917+I918</f>
        <v>4963.5</v>
      </c>
      <c r="J916" s="591">
        <f>J917+J918</f>
        <v>0</v>
      </c>
      <c r="K916" s="591">
        <f t="shared" si="306"/>
        <v>0</v>
      </c>
      <c r="L916" s="591">
        <f t="shared" si="307"/>
        <v>0</v>
      </c>
      <c r="M916" s="217">
        <f t="shared" si="297"/>
        <v>0</v>
      </c>
      <c r="N916" s="292">
        <f>N917+N918</f>
        <v>5227.5</v>
      </c>
      <c r="R916" s="591">
        <f>R917+R918</f>
        <v>4925.5</v>
      </c>
      <c r="S916" s="591">
        <f>S917+S918</f>
        <v>0</v>
      </c>
      <c r="T916" s="309">
        <f t="shared" si="308"/>
        <v>0</v>
      </c>
      <c r="U916" s="498">
        <f>U917+U918</f>
        <v>4919.1000000000004</v>
      </c>
      <c r="V916" s="498">
        <f>V917+V918</f>
        <v>0</v>
      </c>
      <c r="W916" s="310">
        <f t="shared" si="285"/>
        <v>0</v>
      </c>
      <c r="X916" s="310">
        <f t="shared" si="286"/>
        <v>0</v>
      </c>
    </row>
    <row r="917" spans="1:24" ht="15" x14ac:dyDescent="0.2">
      <c r="A917" s="739" t="s">
        <v>125</v>
      </c>
      <c r="B917" s="243" t="s">
        <v>180</v>
      </c>
      <c r="C917" s="353" t="s">
        <v>8</v>
      </c>
      <c r="D917" s="353" t="s">
        <v>614</v>
      </c>
      <c r="E917" s="369" t="s">
        <v>358</v>
      </c>
      <c r="F917" s="369" t="s">
        <v>123</v>
      </c>
      <c r="G917" s="288">
        <v>955.73199999999997</v>
      </c>
      <c r="H917" s="288"/>
      <c r="I917" s="288">
        <v>955.73199999999997</v>
      </c>
      <c r="J917" s="288"/>
      <c r="K917" s="43">
        <f t="shared" si="306"/>
        <v>0</v>
      </c>
      <c r="L917" s="43">
        <f t="shared" si="307"/>
        <v>0</v>
      </c>
      <c r="M917" s="217">
        <f t="shared" si="297"/>
        <v>0</v>
      </c>
      <c r="N917" s="43">
        <v>2521.3000000000002</v>
      </c>
      <c r="R917" s="288">
        <v>1011.9587</v>
      </c>
      <c r="S917" s="288"/>
      <c r="T917" s="217">
        <f t="shared" si="308"/>
        <v>0</v>
      </c>
      <c r="U917" s="288">
        <v>1022.19978</v>
      </c>
      <c r="V917" s="288">
        <v>0</v>
      </c>
      <c r="W917" s="203">
        <f t="shared" ref="W917:W1014" si="309">G917-I917</f>
        <v>0</v>
      </c>
      <c r="X917" s="203">
        <f t="shared" ref="X917:X1014" si="310">K917+W917</f>
        <v>0</v>
      </c>
    </row>
    <row r="918" spans="1:24" ht="15" x14ac:dyDescent="0.2">
      <c r="A918" s="739" t="s">
        <v>126</v>
      </c>
      <c r="B918" s="243" t="s">
        <v>180</v>
      </c>
      <c r="C918" s="353" t="s">
        <v>8</v>
      </c>
      <c r="D918" s="353" t="s">
        <v>614</v>
      </c>
      <c r="E918" s="369" t="s">
        <v>358</v>
      </c>
      <c r="F918" s="369" t="s">
        <v>124</v>
      </c>
      <c r="G918" s="288">
        <v>4007.768</v>
      </c>
      <c r="H918" s="288"/>
      <c r="I918" s="288">
        <v>4007.768</v>
      </c>
      <c r="J918" s="288"/>
      <c r="K918" s="43">
        <f t="shared" si="306"/>
        <v>0</v>
      </c>
      <c r="L918" s="43">
        <f t="shared" si="307"/>
        <v>0</v>
      </c>
      <c r="M918" s="217">
        <f t="shared" si="297"/>
        <v>0</v>
      </c>
      <c r="N918" s="43">
        <v>2706.2</v>
      </c>
      <c r="R918" s="288">
        <v>3913.5412999999999</v>
      </c>
      <c r="S918" s="288"/>
      <c r="T918" s="217">
        <f t="shared" si="308"/>
        <v>0</v>
      </c>
      <c r="U918" s="288">
        <v>3896.90022</v>
      </c>
      <c r="V918" s="288">
        <v>0</v>
      </c>
      <c r="W918" s="203">
        <f t="shared" si="309"/>
        <v>0</v>
      </c>
      <c r="X918" s="203">
        <f t="shared" si="310"/>
        <v>0</v>
      </c>
    </row>
    <row r="919" spans="1:24" s="307" customFormat="1" ht="25.5" x14ac:dyDescent="0.2">
      <c r="A919" s="746" t="s">
        <v>1908</v>
      </c>
      <c r="B919" s="306" t="s">
        <v>180</v>
      </c>
      <c r="C919" s="354" t="s">
        <v>8</v>
      </c>
      <c r="D919" s="354" t="s">
        <v>614</v>
      </c>
      <c r="E919" s="450">
        <v>7820174870</v>
      </c>
      <c r="F919" s="450"/>
      <c r="G919" s="591">
        <f>G920+G921</f>
        <v>473.74250000000001</v>
      </c>
      <c r="H919" s="591">
        <f>H920+H921</f>
        <v>0</v>
      </c>
      <c r="I919" s="591">
        <f>I920+I921</f>
        <v>473.74250000000001</v>
      </c>
      <c r="J919" s="591">
        <f>J920+J921</f>
        <v>0</v>
      </c>
      <c r="K919" s="591">
        <f t="shared" si="306"/>
        <v>0</v>
      </c>
      <c r="L919" s="591">
        <f t="shared" si="307"/>
        <v>0</v>
      </c>
      <c r="M919" s="217">
        <f t="shared" si="297"/>
        <v>0</v>
      </c>
      <c r="N919" s="292">
        <f>N920+N921</f>
        <v>5227.5</v>
      </c>
      <c r="R919" s="591">
        <f>R920+R921</f>
        <v>632.70000000000005</v>
      </c>
      <c r="S919" s="591">
        <f>S920+S921</f>
        <v>0</v>
      </c>
      <c r="T919" s="309">
        <f>I919-G919</f>
        <v>0</v>
      </c>
      <c r="U919" s="498">
        <f>U920+U921</f>
        <v>632.70000000000005</v>
      </c>
      <c r="V919" s="498">
        <f>V920+V921</f>
        <v>0</v>
      </c>
      <c r="W919" s="310">
        <f t="shared" si="309"/>
        <v>0</v>
      </c>
      <c r="X919" s="310">
        <f t="shared" si="310"/>
        <v>0</v>
      </c>
    </row>
    <row r="920" spans="1:24" ht="25.5" x14ac:dyDescent="0.2">
      <c r="A920" s="744" t="s">
        <v>648</v>
      </c>
      <c r="B920" s="243" t="s">
        <v>180</v>
      </c>
      <c r="C920" s="353" t="s">
        <v>8</v>
      </c>
      <c r="D920" s="353" t="s">
        <v>614</v>
      </c>
      <c r="E920" s="369">
        <v>7820174870</v>
      </c>
      <c r="F920" s="369">
        <v>611</v>
      </c>
      <c r="G920" s="288">
        <v>473.74250000000001</v>
      </c>
      <c r="H920" s="288"/>
      <c r="I920" s="288">
        <v>473.74250000000001</v>
      </c>
      <c r="J920" s="288"/>
      <c r="K920" s="43">
        <f t="shared" si="306"/>
        <v>0</v>
      </c>
      <c r="L920" s="43">
        <f t="shared" si="307"/>
        <v>0</v>
      </c>
      <c r="M920" s="217">
        <f t="shared" si="297"/>
        <v>0</v>
      </c>
      <c r="N920" s="43">
        <v>2521.3000000000002</v>
      </c>
      <c r="R920" s="288">
        <v>145.31887</v>
      </c>
      <c r="S920" s="288"/>
      <c r="T920" s="217">
        <f>I920-G920</f>
        <v>0</v>
      </c>
      <c r="U920" s="288">
        <v>131.47499999999999</v>
      </c>
      <c r="V920" s="288">
        <v>0</v>
      </c>
      <c r="W920" s="203">
        <f>G920-I920</f>
        <v>0</v>
      </c>
      <c r="X920" s="203">
        <f>K920+W920</f>
        <v>0</v>
      </c>
    </row>
    <row r="921" spans="1:24" ht="15" hidden="1" x14ac:dyDescent="0.2">
      <c r="A921" s="124" t="s">
        <v>126</v>
      </c>
      <c r="B921" s="243" t="s">
        <v>180</v>
      </c>
      <c r="C921" s="353" t="s">
        <v>8</v>
      </c>
      <c r="D921" s="353" t="s">
        <v>614</v>
      </c>
      <c r="E921" s="369">
        <v>7820174870</v>
      </c>
      <c r="F921" s="369" t="s">
        <v>124</v>
      </c>
      <c r="G921" s="288"/>
      <c r="H921" s="288"/>
      <c r="I921" s="288"/>
      <c r="J921" s="288"/>
      <c r="K921" s="43">
        <f t="shared" si="306"/>
        <v>0</v>
      </c>
      <c r="L921" s="43">
        <f t="shared" si="307"/>
        <v>0</v>
      </c>
      <c r="M921" s="217">
        <f t="shared" si="297"/>
        <v>0</v>
      </c>
      <c r="N921" s="43">
        <v>2706.2</v>
      </c>
      <c r="P921" s="260" t="s">
        <v>1482</v>
      </c>
      <c r="Q921" s="260"/>
      <c r="R921" s="288">
        <v>487.38112999999998</v>
      </c>
      <c r="S921" s="288"/>
      <c r="T921" s="217">
        <f>I921-G921</f>
        <v>0</v>
      </c>
      <c r="U921" s="288">
        <v>501.22500000000002</v>
      </c>
      <c r="V921" s="288">
        <v>0</v>
      </c>
      <c r="W921" s="203">
        <f>G921-I921</f>
        <v>0</v>
      </c>
      <c r="X921" s="203">
        <f>K921+W921</f>
        <v>0</v>
      </c>
    </row>
    <row r="922" spans="1:24" ht="25.5" x14ac:dyDescent="0.2">
      <c r="A922" s="746" t="s">
        <v>1225</v>
      </c>
      <c r="B922" s="306" t="s">
        <v>180</v>
      </c>
      <c r="C922" s="354" t="s">
        <v>8</v>
      </c>
      <c r="D922" s="354" t="s">
        <v>614</v>
      </c>
      <c r="E922" s="450" t="s">
        <v>1302</v>
      </c>
      <c r="F922" s="450"/>
      <c r="G922" s="591">
        <f>SUM(G923:G924)</f>
        <v>23400.1</v>
      </c>
      <c r="H922" s="591">
        <f>SUM(H923:H924)</f>
        <v>21776.100000000002</v>
      </c>
      <c r="I922" s="591">
        <f>SUM(I923:I924)</f>
        <v>23400.1</v>
      </c>
      <c r="J922" s="591">
        <f>SUM(J923:J924)</f>
        <v>21776.100000000002</v>
      </c>
      <c r="K922" s="591">
        <f t="shared" si="306"/>
        <v>0</v>
      </c>
      <c r="L922" s="591">
        <f t="shared" si="307"/>
        <v>0</v>
      </c>
      <c r="M922" s="217">
        <f t="shared" si="297"/>
        <v>0</v>
      </c>
      <c r="N922" s="43"/>
      <c r="P922" s="564">
        <f>P923+P924</f>
        <v>23596.3</v>
      </c>
      <c r="Q922" s="564">
        <v>21776.1</v>
      </c>
      <c r="R922" s="591">
        <f>SUM(R923:R924)</f>
        <v>22291.7</v>
      </c>
      <c r="S922" s="591">
        <f>SUM(S923:S924)</f>
        <v>20744.600000000002</v>
      </c>
      <c r="T922" s="217">
        <v>19477.736000000001</v>
      </c>
      <c r="U922" s="498">
        <f>SUM(U923:U924)</f>
        <v>20930.346000000001</v>
      </c>
      <c r="V922" s="526">
        <f>SUM(V923:V924)</f>
        <v>19477.736000000001</v>
      </c>
      <c r="W922" s="203"/>
      <c r="X922" s="203"/>
    </row>
    <row r="923" spans="1:24" ht="15" x14ac:dyDescent="0.2">
      <c r="A923" s="739" t="s">
        <v>125</v>
      </c>
      <c r="B923" s="243" t="s">
        <v>180</v>
      </c>
      <c r="C923" s="353" t="s">
        <v>8</v>
      </c>
      <c r="D923" s="353" t="s">
        <v>614</v>
      </c>
      <c r="E923" s="369" t="s">
        <v>1302</v>
      </c>
      <c r="F923" s="369" t="s">
        <v>123</v>
      </c>
      <c r="G923" s="288">
        <v>3813.03</v>
      </c>
      <c r="H923" s="265">
        <v>3582.2</v>
      </c>
      <c r="I923" s="288">
        <v>3813.03</v>
      </c>
      <c r="J923" s="265">
        <v>3582.2</v>
      </c>
      <c r="K923" s="43">
        <f t="shared" si="306"/>
        <v>0</v>
      </c>
      <c r="L923" s="43">
        <f t="shared" si="307"/>
        <v>0</v>
      </c>
      <c r="M923" s="217">
        <f t="shared" si="297"/>
        <v>0</v>
      </c>
      <c r="N923" s="43"/>
      <c r="P923" s="564">
        <v>3756.6909999999998</v>
      </c>
      <c r="Q923" s="564"/>
      <c r="R923" s="288">
        <v>3549.0160000000001</v>
      </c>
      <c r="S923" s="265">
        <v>3302.7</v>
      </c>
      <c r="T923" s="217">
        <f>S923*T922/100</f>
        <v>643291.18687199999</v>
      </c>
      <c r="U923" s="288">
        <v>3951.71425</v>
      </c>
      <c r="V923" s="265">
        <v>3677.4569700000002</v>
      </c>
      <c r="W923" s="203"/>
      <c r="X923" s="203"/>
    </row>
    <row r="924" spans="1:24" ht="15" x14ac:dyDescent="0.2">
      <c r="A924" s="739" t="s">
        <v>126</v>
      </c>
      <c r="B924" s="243" t="s">
        <v>180</v>
      </c>
      <c r="C924" s="353" t="s">
        <v>8</v>
      </c>
      <c r="D924" s="353" t="s">
        <v>614</v>
      </c>
      <c r="E924" s="369" t="s">
        <v>1302</v>
      </c>
      <c r="F924" s="369" t="s">
        <v>124</v>
      </c>
      <c r="G924" s="288">
        <v>19587.07</v>
      </c>
      <c r="H924" s="265">
        <v>18193.900000000001</v>
      </c>
      <c r="I924" s="288">
        <v>19587.07</v>
      </c>
      <c r="J924" s="265">
        <v>18193.900000000001</v>
      </c>
      <c r="K924" s="43">
        <f t="shared" si="306"/>
        <v>0</v>
      </c>
      <c r="L924" s="43">
        <f t="shared" si="307"/>
        <v>0</v>
      </c>
      <c r="M924" s="217">
        <f t="shared" si="297"/>
        <v>0</v>
      </c>
      <c r="N924" s="43"/>
      <c r="P924" s="564">
        <v>19839.609</v>
      </c>
      <c r="Q924" s="564"/>
      <c r="R924" s="288">
        <v>18742.684000000001</v>
      </c>
      <c r="S924" s="265">
        <v>17441.900000000001</v>
      </c>
      <c r="T924" s="217">
        <f>S924*T922/100</f>
        <v>3397287.2353840005</v>
      </c>
      <c r="U924" s="288">
        <v>16978.63175</v>
      </c>
      <c r="V924" s="265">
        <v>15800.27903</v>
      </c>
      <c r="W924" s="203"/>
      <c r="X924" s="203"/>
    </row>
    <row r="925" spans="1:24" ht="63.75" x14ac:dyDescent="0.2">
      <c r="A925" s="746" t="s">
        <v>2018</v>
      </c>
      <c r="B925" s="306" t="s">
        <v>180</v>
      </c>
      <c r="C925" s="354" t="s">
        <v>8</v>
      </c>
      <c r="D925" s="354" t="s">
        <v>614</v>
      </c>
      <c r="E925" s="719" t="s">
        <v>2017</v>
      </c>
      <c r="F925" s="697"/>
      <c r="G925" s="591">
        <f>SUM(G926:G927)</f>
        <v>0</v>
      </c>
      <c r="H925" s="591">
        <f>SUM(H926:H927)</f>
        <v>0</v>
      </c>
      <c r="I925" s="591">
        <f>SUM(I926:I927)</f>
        <v>546.79999999999995</v>
      </c>
      <c r="J925" s="591">
        <f>SUM(J926:J927)</f>
        <v>546.79999999999995</v>
      </c>
      <c r="K925" s="591">
        <f t="shared" ref="K925:K927" si="311">I925-G925</f>
        <v>546.79999999999995</v>
      </c>
      <c r="L925" s="591">
        <f t="shared" ref="L925:L927" si="312">J925-H925</f>
        <v>546.79999999999995</v>
      </c>
      <c r="M925" s="217"/>
      <c r="N925" s="43"/>
      <c r="P925" s="564"/>
      <c r="Q925" s="564"/>
      <c r="R925" s="288"/>
      <c r="S925" s="265"/>
      <c r="T925" s="217"/>
      <c r="U925" s="288"/>
      <c r="V925" s="265"/>
      <c r="W925" s="203"/>
      <c r="X925" s="203"/>
    </row>
    <row r="926" spans="1:24" ht="15" x14ac:dyDescent="0.2">
      <c r="A926" s="739" t="s">
        <v>125</v>
      </c>
      <c r="B926" s="243" t="s">
        <v>180</v>
      </c>
      <c r="C926" s="353" t="s">
        <v>8</v>
      </c>
      <c r="D926" s="353" t="s">
        <v>614</v>
      </c>
      <c r="E926" s="369" t="s">
        <v>2017</v>
      </c>
      <c r="F926" s="369" t="s">
        <v>123</v>
      </c>
      <c r="G926" s="288"/>
      <c r="H926" s="265"/>
      <c r="I926" s="288">
        <v>351.51427999999999</v>
      </c>
      <c r="J926" s="288">
        <v>351.51427999999999</v>
      </c>
      <c r="K926" s="43">
        <f t="shared" si="311"/>
        <v>351.51427999999999</v>
      </c>
      <c r="L926" s="43">
        <f t="shared" si="312"/>
        <v>351.51427999999999</v>
      </c>
      <c r="M926" s="217"/>
      <c r="N926" s="43"/>
      <c r="P926" s="564"/>
      <c r="Q926" s="564"/>
      <c r="R926" s="288"/>
      <c r="S926" s="265"/>
      <c r="T926" s="217"/>
      <c r="U926" s="288"/>
      <c r="V926" s="265"/>
      <c r="W926" s="203"/>
      <c r="X926" s="203"/>
    </row>
    <row r="927" spans="1:24" ht="15" x14ac:dyDescent="0.2">
      <c r="A927" s="739" t="s">
        <v>126</v>
      </c>
      <c r="B927" s="243" t="s">
        <v>180</v>
      </c>
      <c r="C927" s="353" t="s">
        <v>8</v>
      </c>
      <c r="D927" s="353" t="s">
        <v>614</v>
      </c>
      <c r="E927" s="369" t="s">
        <v>2017</v>
      </c>
      <c r="F927" s="369" t="s">
        <v>124</v>
      </c>
      <c r="G927" s="288"/>
      <c r="H927" s="265"/>
      <c r="I927" s="288">
        <v>195.28572</v>
      </c>
      <c r="J927" s="288">
        <v>195.28572</v>
      </c>
      <c r="K927" s="43">
        <f t="shared" si="311"/>
        <v>195.28572</v>
      </c>
      <c r="L927" s="43">
        <f t="shared" si="312"/>
        <v>195.28572</v>
      </c>
      <c r="M927" s="217"/>
      <c r="N927" s="43"/>
      <c r="P927" s="564"/>
      <c r="Q927" s="564"/>
      <c r="R927" s="288"/>
      <c r="S927" s="265"/>
      <c r="T927" s="217"/>
      <c r="U927" s="288"/>
      <c r="V927" s="265"/>
      <c r="W927" s="203"/>
      <c r="X927" s="203"/>
    </row>
    <row r="928" spans="1:24" s="307" customFormat="1" ht="15" x14ac:dyDescent="0.2">
      <c r="A928" s="746" t="s">
        <v>1016</v>
      </c>
      <c r="B928" s="306" t="s">
        <v>180</v>
      </c>
      <c r="C928" s="354" t="s">
        <v>8</v>
      </c>
      <c r="D928" s="354" t="s">
        <v>614</v>
      </c>
      <c r="E928" s="450" t="s">
        <v>1137</v>
      </c>
      <c r="F928" s="450"/>
      <c r="G928" s="591">
        <f>G929+G930</f>
        <v>191414.15399999998</v>
      </c>
      <c r="H928" s="591">
        <f>H929+H930</f>
        <v>0</v>
      </c>
      <c r="I928" s="591">
        <f>I929+I930</f>
        <v>191952.35399999999</v>
      </c>
      <c r="J928" s="591">
        <f>J929+J930</f>
        <v>0</v>
      </c>
      <c r="K928" s="591">
        <f t="shared" si="306"/>
        <v>538.20000000001164</v>
      </c>
      <c r="L928" s="591">
        <f t="shared" si="307"/>
        <v>0</v>
      </c>
      <c r="M928" s="217">
        <f t="shared" si="297"/>
        <v>0</v>
      </c>
      <c r="N928" s="308"/>
      <c r="P928" s="329"/>
      <c r="Q928" s="329"/>
      <c r="R928" s="591">
        <f>R929+R930</f>
        <v>130282.057</v>
      </c>
      <c r="S928" s="591">
        <f>S929+S930</f>
        <v>0</v>
      </c>
      <c r="T928" s="217">
        <v>26.19</v>
      </c>
      <c r="U928" s="498">
        <f>U929+U930</f>
        <v>118774.12922999999</v>
      </c>
      <c r="V928" s="498">
        <f>V929+V930</f>
        <v>0</v>
      </c>
      <c r="W928" s="310">
        <f t="shared" si="309"/>
        <v>-538.20000000001164</v>
      </c>
      <c r="X928" s="310">
        <f t="shared" si="310"/>
        <v>0</v>
      </c>
    </row>
    <row r="929" spans="1:24" ht="25.5" x14ac:dyDescent="0.2">
      <c r="A929" s="739" t="s">
        <v>648</v>
      </c>
      <c r="B929" s="243" t="s">
        <v>180</v>
      </c>
      <c r="C929" s="353" t="s">
        <v>8</v>
      </c>
      <c r="D929" s="353" t="s">
        <v>614</v>
      </c>
      <c r="E929" s="369" t="s">
        <v>1137</v>
      </c>
      <c r="F929" s="369" t="s">
        <v>127</v>
      </c>
      <c r="G929" s="288">
        <v>45679.826399999998</v>
      </c>
      <c r="H929" s="288"/>
      <c r="I929" s="288">
        <v>45679.826399999998</v>
      </c>
      <c r="J929" s="288"/>
      <c r="K929" s="43">
        <f t="shared" si="306"/>
        <v>0</v>
      </c>
      <c r="L929" s="43">
        <f t="shared" si="307"/>
        <v>0</v>
      </c>
      <c r="M929" s="217">
        <f t="shared" si="297"/>
        <v>0</v>
      </c>
      <c r="N929" s="171"/>
      <c r="P929" s="245">
        <v>581.70000000000005</v>
      </c>
      <c r="Q929" s="245">
        <v>853664.50124213891</v>
      </c>
      <c r="R929" s="288">
        <v>31612.46142</v>
      </c>
      <c r="S929" s="288"/>
      <c r="T929" s="217">
        <f>S923*T928/100</f>
        <v>864.97712999999999</v>
      </c>
      <c r="U929" s="288">
        <v>31827.5838</v>
      </c>
      <c r="V929" s="288">
        <v>0</v>
      </c>
      <c r="W929" s="203">
        <f t="shared" si="309"/>
        <v>0</v>
      </c>
      <c r="X929" s="203">
        <f t="shared" si="310"/>
        <v>0</v>
      </c>
    </row>
    <row r="930" spans="1:24" ht="25.5" x14ac:dyDescent="0.2">
      <c r="A930" s="739" t="s">
        <v>646</v>
      </c>
      <c r="B930" s="243" t="s">
        <v>180</v>
      </c>
      <c r="C930" s="353" t="s">
        <v>8</v>
      </c>
      <c r="D930" s="353" t="s">
        <v>614</v>
      </c>
      <c r="E930" s="369" t="s">
        <v>1137</v>
      </c>
      <c r="F930" s="369" t="s">
        <v>128</v>
      </c>
      <c r="G930" s="288">
        <v>145734.32759999999</v>
      </c>
      <c r="H930" s="288"/>
      <c r="I930" s="288">
        <v>146272.5276</v>
      </c>
      <c r="J930" s="288"/>
      <c r="K930" s="43">
        <f t="shared" si="306"/>
        <v>538.20000000001164</v>
      </c>
      <c r="L930" s="43">
        <f t="shared" si="307"/>
        <v>0</v>
      </c>
      <c r="M930" s="217">
        <f t="shared" si="297"/>
        <v>0</v>
      </c>
      <c r="N930" s="171"/>
      <c r="P930" s="245">
        <v>1690.4</v>
      </c>
      <c r="Q930" s="245">
        <v>1377960.3075506268</v>
      </c>
      <c r="R930" s="288">
        <v>98669.595579999994</v>
      </c>
      <c r="S930" s="288"/>
      <c r="T930" s="217">
        <f>T928*S924/100</f>
        <v>4568.0336100000004</v>
      </c>
      <c r="U930" s="288">
        <v>86946.545429999998</v>
      </c>
      <c r="V930" s="288">
        <v>0</v>
      </c>
      <c r="W930" s="203">
        <f t="shared" si="309"/>
        <v>-538.20000000001164</v>
      </c>
      <c r="X930" s="203">
        <f t="shared" si="310"/>
        <v>0</v>
      </c>
    </row>
    <row r="931" spans="1:24" s="307" customFormat="1" ht="27" hidden="1" customHeight="1" x14ac:dyDescent="0.2">
      <c r="A931" s="504" t="s">
        <v>1050</v>
      </c>
      <c r="B931" s="306" t="s">
        <v>180</v>
      </c>
      <c r="C931" s="354" t="s">
        <v>8</v>
      </c>
      <c r="D931" s="354" t="s">
        <v>614</v>
      </c>
      <c r="E931" s="506" t="s">
        <v>1052</v>
      </c>
      <c r="F931" s="495"/>
      <c r="G931" s="498">
        <f>G932+G933</f>
        <v>0</v>
      </c>
      <c r="H931" s="498">
        <f>H932+H933</f>
        <v>0</v>
      </c>
      <c r="I931" s="591">
        <f>I932+I933</f>
        <v>0</v>
      </c>
      <c r="J931" s="591">
        <f>J932+J933</f>
        <v>0</v>
      </c>
      <c r="K931" s="591">
        <f t="shared" si="306"/>
        <v>0</v>
      </c>
      <c r="L931" s="591">
        <f t="shared" si="307"/>
        <v>0</v>
      </c>
      <c r="M931" s="217">
        <f>I931-G931-K931</f>
        <v>0</v>
      </c>
      <c r="N931" s="308"/>
      <c r="P931" s="329"/>
      <c r="Q931" s="329"/>
      <c r="R931" s="591">
        <f>R932+R933</f>
        <v>0</v>
      </c>
      <c r="S931" s="591">
        <f>S932+S933</f>
        <v>0</v>
      </c>
      <c r="T931" s="217">
        <v>26.19</v>
      </c>
      <c r="U931" s="498">
        <f>U932+U933</f>
        <v>14297.939999999999</v>
      </c>
      <c r="V931" s="498">
        <f>V932+V933</f>
        <v>0</v>
      </c>
      <c r="W931" s="310">
        <f>G931-I931</f>
        <v>0</v>
      </c>
      <c r="X931" s="310">
        <f>K931+W931</f>
        <v>0</v>
      </c>
    </row>
    <row r="932" spans="1:24" ht="38.25" hidden="1" customHeight="1" x14ac:dyDescent="0.2">
      <c r="A932" s="124" t="s">
        <v>648</v>
      </c>
      <c r="B932" s="243" t="s">
        <v>180</v>
      </c>
      <c r="C932" s="353" t="s">
        <v>8</v>
      </c>
      <c r="D932" s="353" t="s">
        <v>614</v>
      </c>
      <c r="E932" s="386" t="s">
        <v>1052</v>
      </c>
      <c r="F932" s="369" t="s">
        <v>127</v>
      </c>
      <c r="G932" s="288"/>
      <c r="H932" s="288"/>
      <c r="I932" s="288"/>
      <c r="J932" s="288"/>
      <c r="K932" s="43">
        <f t="shared" si="306"/>
        <v>0</v>
      </c>
      <c r="L932" s="43">
        <f t="shared" si="307"/>
        <v>0</v>
      </c>
      <c r="M932" s="217">
        <f>I932-G932-K932</f>
        <v>0</v>
      </c>
      <c r="N932" s="171"/>
      <c r="P932" s="245">
        <v>581.70000000000005</v>
      </c>
      <c r="Q932" s="245"/>
      <c r="R932" s="288"/>
      <c r="S932" s="288"/>
      <c r="T932" s="217">
        <f>S929*T931/100</f>
        <v>0</v>
      </c>
      <c r="U932" s="288">
        <v>1592.06</v>
      </c>
      <c r="V932" s="288">
        <v>0</v>
      </c>
      <c r="W932" s="203">
        <f>G932-I932</f>
        <v>0</v>
      </c>
      <c r="X932" s="203">
        <f>K932+W932</f>
        <v>0</v>
      </c>
    </row>
    <row r="933" spans="1:24" ht="41.25" hidden="1" customHeight="1" x14ac:dyDescent="0.2">
      <c r="A933" s="124" t="s">
        <v>646</v>
      </c>
      <c r="B933" s="243" t="s">
        <v>180</v>
      </c>
      <c r="C933" s="353" t="s">
        <v>8</v>
      </c>
      <c r="D933" s="353" t="s">
        <v>614</v>
      </c>
      <c r="E933" s="386" t="s">
        <v>1052</v>
      </c>
      <c r="F933" s="369" t="s">
        <v>128</v>
      </c>
      <c r="G933" s="288"/>
      <c r="H933" s="288"/>
      <c r="I933" s="288"/>
      <c r="J933" s="288"/>
      <c r="K933" s="43">
        <f t="shared" si="306"/>
        <v>0</v>
      </c>
      <c r="L933" s="43">
        <f t="shared" si="307"/>
        <v>0</v>
      </c>
      <c r="M933" s="217">
        <f>I933-G933-K933</f>
        <v>0</v>
      </c>
      <c r="N933" s="171"/>
      <c r="P933" s="245">
        <v>1690.4</v>
      </c>
      <c r="Q933" s="245"/>
      <c r="R933" s="288"/>
      <c r="S933" s="288"/>
      <c r="T933" s="217">
        <f>T931*S930/100</f>
        <v>0</v>
      </c>
      <c r="U933" s="288">
        <v>12705.88</v>
      </c>
      <c r="V933" s="288">
        <v>0</v>
      </c>
      <c r="W933" s="203">
        <f>G933-I933</f>
        <v>0</v>
      </c>
      <c r="X933" s="203">
        <f>K933+W933</f>
        <v>0</v>
      </c>
    </row>
    <row r="934" spans="1:24" ht="25.5" x14ac:dyDescent="0.2">
      <c r="A934" s="746" t="s">
        <v>1231</v>
      </c>
      <c r="B934" s="306" t="s">
        <v>180</v>
      </c>
      <c r="C934" s="354" t="s">
        <v>8</v>
      </c>
      <c r="D934" s="354" t="s">
        <v>614</v>
      </c>
      <c r="E934" s="582" t="s">
        <v>1494</v>
      </c>
      <c r="F934" s="450"/>
      <c r="G934" s="591">
        <f>SUM(G935:G936)</f>
        <v>18481.600000000002</v>
      </c>
      <c r="H934" s="591">
        <f>SUM(H935:H936)</f>
        <v>0</v>
      </c>
      <c r="I934" s="591">
        <f>SUM(I935:I936)</f>
        <v>20530.8</v>
      </c>
      <c r="J934" s="591">
        <f>SUM(J935:J936)</f>
        <v>0</v>
      </c>
      <c r="K934" s="591">
        <f t="shared" si="306"/>
        <v>2049.1999999999971</v>
      </c>
      <c r="L934" s="591">
        <f t="shared" si="307"/>
        <v>0</v>
      </c>
      <c r="M934" s="217">
        <f t="shared" si="297"/>
        <v>0</v>
      </c>
      <c r="N934" s="171"/>
      <c r="P934" s="245"/>
      <c r="Q934" s="245"/>
      <c r="R934" s="591">
        <f>SUM(R935:R936)</f>
        <v>13307</v>
      </c>
      <c r="S934" s="591">
        <f>SUM(S935:S936)</f>
        <v>0</v>
      </c>
      <c r="T934" s="217">
        <f>T929+T930</f>
        <v>5433.0107400000006</v>
      </c>
      <c r="U934" s="498">
        <f>SUM(U935:U936)</f>
        <v>14917</v>
      </c>
      <c r="V934" s="498">
        <f>SUM(V935:V936)</f>
        <v>0</v>
      </c>
      <c r="W934" s="203"/>
      <c r="X934" s="203"/>
    </row>
    <row r="935" spans="1:24" ht="15" x14ac:dyDescent="0.2">
      <c r="A935" s="739" t="s">
        <v>125</v>
      </c>
      <c r="B935" s="243" t="s">
        <v>180</v>
      </c>
      <c r="C935" s="353" t="s">
        <v>8</v>
      </c>
      <c r="D935" s="353" t="s">
        <v>614</v>
      </c>
      <c r="E935" s="369" t="s">
        <v>1303</v>
      </c>
      <c r="F935" s="369" t="s">
        <v>123</v>
      </c>
      <c r="G935" s="288">
        <v>3108.2840000000001</v>
      </c>
      <c r="H935" s="288"/>
      <c r="I935" s="288">
        <v>3593.8420000000001</v>
      </c>
      <c r="J935" s="288"/>
      <c r="K935" s="43">
        <f t="shared" si="306"/>
        <v>485.55799999999999</v>
      </c>
      <c r="L935" s="43">
        <f t="shared" si="307"/>
        <v>0</v>
      </c>
      <c r="M935" s="217">
        <f t="shared" si="297"/>
        <v>0</v>
      </c>
      <c r="N935" s="171"/>
      <c r="P935" s="245"/>
      <c r="Q935" s="245"/>
      <c r="R935" s="288">
        <v>2320.6759999999999</v>
      </c>
      <c r="S935" s="288"/>
      <c r="T935" s="217"/>
      <c r="U935" s="288">
        <v>2472.8180000000002</v>
      </c>
      <c r="V935" s="288">
        <v>0</v>
      </c>
      <c r="W935" s="203"/>
      <c r="X935" s="203"/>
    </row>
    <row r="936" spans="1:24" ht="15" x14ac:dyDescent="0.2">
      <c r="A936" s="739" t="s">
        <v>126</v>
      </c>
      <c r="B936" s="243" t="s">
        <v>180</v>
      </c>
      <c r="C936" s="353" t="s">
        <v>8</v>
      </c>
      <c r="D936" s="353" t="s">
        <v>614</v>
      </c>
      <c r="E936" s="369" t="s">
        <v>1303</v>
      </c>
      <c r="F936" s="369" t="s">
        <v>124</v>
      </c>
      <c r="G936" s="288">
        <v>15373.316000000001</v>
      </c>
      <c r="H936" s="288"/>
      <c r="I936" s="288">
        <v>16936.957999999999</v>
      </c>
      <c r="J936" s="288"/>
      <c r="K936" s="43">
        <f t="shared" si="306"/>
        <v>1563.641999999998</v>
      </c>
      <c r="L936" s="43">
        <f t="shared" si="307"/>
        <v>0</v>
      </c>
      <c r="M936" s="217">
        <f t="shared" ref="M936:M1002" si="313">I936-G936-K936</f>
        <v>0</v>
      </c>
      <c r="N936" s="171"/>
      <c r="P936" s="245"/>
      <c r="Q936" s="245"/>
      <c r="R936" s="288">
        <v>10986.324000000001</v>
      </c>
      <c r="S936" s="288"/>
      <c r="T936" s="217"/>
      <c r="U936" s="288">
        <v>12444.182000000001</v>
      </c>
      <c r="V936" s="288">
        <v>0</v>
      </c>
      <c r="W936" s="203"/>
      <c r="X936" s="203"/>
    </row>
    <row r="937" spans="1:24" ht="38.25" hidden="1" x14ac:dyDescent="0.2">
      <c r="A937" s="451" t="s">
        <v>1269</v>
      </c>
      <c r="B937" s="306" t="s">
        <v>180</v>
      </c>
      <c r="C937" s="354" t="s">
        <v>8</v>
      </c>
      <c r="D937" s="354" t="s">
        <v>614</v>
      </c>
      <c r="E937" s="582" t="s">
        <v>1304</v>
      </c>
      <c r="F937" s="450"/>
      <c r="G937" s="498">
        <f>SUM(G938:G939)</f>
        <v>0</v>
      </c>
      <c r="H937" s="498">
        <f>SUM(H938:H939)</f>
        <v>0</v>
      </c>
      <c r="I937" s="591">
        <f>SUM(I938:I939)</f>
        <v>0</v>
      </c>
      <c r="J937" s="591">
        <f>SUM(J938:J939)</f>
        <v>0</v>
      </c>
      <c r="K937" s="591">
        <f t="shared" si="306"/>
        <v>0</v>
      </c>
      <c r="L937" s="591">
        <f t="shared" si="307"/>
        <v>0</v>
      </c>
      <c r="M937" s="217">
        <f t="shared" si="313"/>
        <v>0</v>
      </c>
      <c r="N937" s="171"/>
      <c r="P937" s="245"/>
      <c r="Q937" s="245"/>
      <c r="R937" s="591">
        <f>SUM(R938:R939)</f>
        <v>25.9</v>
      </c>
      <c r="S937" s="591">
        <f>SUM(S938:S939)</f>
        <v>0</v>
      </c>
      <c r="T937" s="217"/>
      <c r="U937" s="498">
        <f>SUM(U938:U939)</f>
        <v>25.9</v>
      </c>
      <c r="V937" s="498">
        <f>SUM(V938:V939)</f>
        <v>0</v>
      </c>
      <c r="W937" s="203"/>
      <c r="X937" s="203"/>
    </row>
    <row r="938" spans="1:24" ht="16.5" hidden="1" customHeight="1" x14ac:dyDescent="0.2">
      <c r="A938" s="124" t="s">
        <v>125</v>
      </c>
      <c r="B938" s="243" t="s">
        <v>180</v>
      </c>
      <c r="C938" s="353" t="s">
        <v>8</v>
      </c>
      <c r="D938" s="353" t="s">
        <v>614</v>
      </c>
      <c r="E938" s="369" t="s">
        <v>1304</v>
      </c>
      <c r="F938" s="369" t="s">
        <v>123</v>
      </c>
      <c r="G938" s="288"/>
      <c r="H938" s="288"/>
      <c r="I938" s="288"/>
      <c r="J938" s="288"/>
      <c r="K938" s="43">
        <f t="shared" si="306"/>
        <v>0</v>
      </c>
      <c r="L938" s="43">
        <f t="shared" si="307"/>
        <v>0</v>
      </c>
      <c r="M938" s="217">
        <f t="shared" si="313"/>
        <v>0</v>
      </c>
      <c r="N938" s="171"/>
      <c r="P938" s="245"/>
      <c r="Q938" s="245"/>
      <c r="R938" s="288"/>
      <c r="S938" s="288"/>
      <c r="T938" s="217"/>
      <c r="U938" s="288"/>
      <c r="V938" s="288"/>
      <c r="W938" s="203"/>
      <c r="X938" s="203"/>
    </row>
    <row r="939" spans="1:24" ht="15" hidden="1" x14ac:dyDescent="0.2">
      <c r="A939" s="124" t="s">
        <v>126</v>
      </c>
      <c r="B939" s="243" t="s">
        <v>180</v>
      </c>
      <c r="C939" s="353" t="s">
        <v>8</v>
      </c>
      <c r="D939" s="353" t="s">
        <v>614</v>
      </c>
      <c r="E939" s="369" t="s">
        <v>1304</v>
      </c>
      <c r="F939" s="369" t="s">
        <v>124</v>
      </c>
      <c r="G939" s="288"/>
      <c r="H939" s="288"/>
      <c r="I939" s="288"/>
      <c r="J939" s="288"/>
      <c r="K939" s="43">
        <f t="shared" si="306"/>
        <v>0</v>
      </c>
      <c r="L939" s="43">
        <f t="shared" si="307"/>
        <v>0</v>
      </c>
      <c r="M939" s="217">
        <f t="shared" si="313"/>
        <v>0</v>
      </c>
      <c r="N939" s="171"/>
      <c r="P939" s="245"/>
      <c r="Q939" s="245"/>
      <c r="R939" s="288">
        <v>25.9</v>
      </c>
      <c r="S939" s="288"/>
      <c r="T939" s="217"/>
      <c r="U939" s="288">
        <v>25.9</v>
      </c>
      <c r="V939" s="288">
        <v>0</v>
      </c>
      <c r="W939" s="203"/>
      <c r="X939" s="203"/>
    </row>
    <row r="940" spans="1:24" s="307" customFormat="1" ht="64.5" customHeight="1" x14ac:dyDescent="0.2">
      <c r="A940" s="746" t="s">
        <v>1830</v>
      </c>
      <c r="B940" s="306" t="s">
        <v>180</v>
      </c>
      <c r="C940" s="354" t="s">
        <v>8</v>
      </c>
      <c r="D940" s="354" t="s">
        <v>614</v>
      </c>
      <c r="E940" s="651" t="s">
        <v>1831</v>
      </c>
      <c r="F940" s="450"/>
      <c r="G940" s="591">
        <f>G941+G942</f>
        <v>158.06200000000001</v>
      </c>
      <c r="H940" s="591">
        <f>H941+H942</f>
        <v>0</v>
      </c>
      <c r="I940" s="591">
        <f>I941+I942</f>
        <v>158.06200000000001</v>
      </c>
      <c r="J940" s="591">
        <f>J941+J942</f>
        <v>0</v>
      </c>
      <c r="K940" s="591">
        <f t="shared" si="306"/>
        <v>0</v>
      </c>
      <c r="L940" s="591">
        <f t="shared" si="307"/>
        <v>0</v>
      </c>
      <c r="M940" s="217">
        <f t="shared" si="313"/>
        <v>0</v>
      </c>
      <c r="N940" s="292"/>
      <c r="P940" s="326">
        <f>P930+P929</f>
        <v>2272.1000000000004</v>
      </c>
      <c r="Q940" s="326"/>
      <c r="R940" s="591">
        <f>R941+R942</f>
        <v>0</v>
      </c>
      <c r="S940" s="591">
        <f>S941+S942</f>
        <v>0</v>
      </c>
      <c r="T940" s="309">
        <f>I940-G940</f>
        <v>0</v>
      </c>
      <c r="U940" s="498">
        <f>U941+U942</f>
        <v>0</v>
      </c>
      <c r="V940" s="498">
        <f>V941+V942</f>
        <v>0</v>
      </c>
      <c r="W940" s="310">
        <f t="shared" si="309"/>
        <v>0</v>
      </c>
      <c r="X940" s="310">
        <f t="shared" si="310"/>
        <v>0</v>
      </c>
    </row>
    <row r="941" spans="1:24" ht="13.5" customHeight="1" x14ac:dyDescent="0.2">
      <c r="A941" s="739" t="s">
        <v>125</v>
      </c>
      <c r="B941" s="243" t="s">
        <v>180</v>
      </c>
      <c r="C941" s="353" t="s">
        <v>8</v>
      </c>
      <c r="D941" s="353" t="s">
        <v>614</v>
      </c>
      <c r="E941" s="369" t="s">
        <v>1831</v>
      </c>
      <c r="F941" s="369" t="s">
        <v>123</v>
      </c>
      <c r="G941" s="288">
        <v>51.256</v>
      </c>
      <c r="H941" s="288"/>
      <c r="I941" s="288">
        <v>51.256</v>
      </c>
      <c r="J941" s="288"/>
      <c r="K941" s="43">
        <f t="shared" si="306"/>
        <v>0</v>
      </c>
      <c r="L941" s="43">
        <f t="shared" si="307"/>
        <v>0</v>
      </c>
      <c r="M941" s="217">
        <f t="shared" si="313"/>
        <v>0</v>
      </c>
      <c r="N941" s="43"/>
      <c r="R941" s="288"/>
      <c r="S941" s="288"/>
      <c r="T941" s="217">
        <f>I941-G941</f>
        <v>0</v>
      </c>
      <c r="U941" s="288"/>
      <c r="V941" s="288"/>
      <c r="W941" s="203">
        <f t="shared" si="309"/>
        <v>0</v>
      </c>
      <c r="X941" s="203">
        <f t="shared" si="310"/>
        <v>0</v>
      </c>
    </row>
    <row r="942" spans="1:24" ht="13.5" customHeight="1" x14ac:dyDescent="0.2">
      <c r="A942" s="739" t="s">
        <v>126</v>
      </c>
      <c r="B942" s="243" t="s">
        <v>180</v>
      </c>
      <c r="C942" s="353" t="s">
        <v>8</v>
      </c>
      <c r="D942" s="353" t="s">
        <v>614</v>
      </c>
      <c r="E942" s="369" t="s">
        <v>1831</v>
      </c>
      <c r="F942" s="369" t="s">
        <v>124</v>
      </c>
      <c r="G942" s="288">
        <v>106.806</v>
      </c>
      <c r="H942" s="288"/>
      <c r="I942" s="288">
        <v>106.806</v>
      </c>
      <c r="J942" s="288"/>
      <c r="K942" s="43">
        <f t="shared" si="306"/>
        <v>0</v>
      </c>
      <c r="L942" s="43">
        <f t="shared" si="307"/>
        <v>0</v>
      </c>
      <c r="M942" s="217">
        <f t="shared" si="313"/>
        <v>0</v>
      </c>
      <c r="N942" s="43"/>
      <c r="R942" s="288"/>
      <c r="S942" s="288"/>
      <c r="T942" s="217">
        <f>I942-G942</f>
        <v>0</v>
      </c>
      <c r="U942" s="288"/>
      <c r="V942" s="288"/>
      <c r="W942" s="203">
        <f t="shared" si="309"/>
        <v>0</v>
      </c>
      <c r="X942" s="203">
        <f t="shared" si="310"/>
        <v>0</v>
      </c>
    </row>
    <row r="943" spans="1:24" s="307" customFormat="1" ht="27" hidden="1" customHeight="1" x14ac:dyDescent="0.2">
      <c r="A943" s="451" t="s">
        <v>872</v>
      </c>
      <c r="B943" s="306" t="s">
        <v>180</v>
      </c>
      <c r="C943" s="354" t="s">
        <v>8</v>
      </c>
      <c r="D943" s="354" t="s">
        <v>614</v>
      </c>
      <c r="E943" s="450" t="s">
        <v>873</v>
      </c>
      <c r="F943" s="450"/>
      <c r="G943" s="498">
        <f>G944+G945</f>
        <v>0</v>
      </c>
      <c r="H943" s="498">
        <f>H944+H945</f>
        <v>0</v>
      </c>
      <c r="I943" s="591">
        <f>I944+I945</f>
        <v>0</v>
      </c>
      <c r="J943" s="591">
        <f>J944+J945</f>
        <v>0</v>
      </c>
      <c r="K943" s="591">
        <f t="shared" si="306"/>
        <v>0</v>
      </c>
      <c r="L943" s="591">
        <f t="shared" si="307"/>
        <v>0</v>
      </c>
      <c r="M943" s="217">
        <f t="shared" si="313"/>
        <v>0</v>
      </c>
      <c r="N943" s="292"/>
      <c r="P943" s="313"/>
      <c r="Q943" s="313"/>
      <c r="R943" s="591">
        <f>R944+R945</f>
        <v>0</v>
      </c>
      <c r="S943" s="591">
        <f>S944+S945</f>
        <v>0</v>
      </c>
      <c r="T943" s="309"/>
      <c r="U943" s="498">
        <f>U944+U945</f>
        <v>0</v>
      </c>
      <c r="V943" s="498">
        <f>V944+V945</f>
        <v>0</v>
      </c>
      <c r="W943" s="310">
        <f t="shared" si="309"/>
        <v>0</v>
      </c>
      <c r="X943" s="310">
        <f t="shared" si="310"/>
        <v>0</v>
      </c>
    </row>
    <row r="944" spans="1:24" ht="16.5" hidden="1" customHeight="1" x14ac:dyDescent="0.2">
      <c r="A944" s="124" t="s">
        <v>125</v>
      </c>
      <c r="B944" s="243" t="s">
        <v>180</v>
      </c>
      <c r="C944" s="353" t="s">
        <v>8</v>
      </c>
      <c r="D944" s="353" t="s">
        <v>614</v>
      </c>
      <c r="E944" s="369" t="s">
        <v>873</v>
      </c>
      <c r="F944" s="369" t="s">
        <v>123</v>
      </c>
      <c r="G944" s="288"/>
      <c r="H944" s="288"/>
      <c r="I944" s="288"/>
      <c r="J944" s="288"/>
      <c r="K944" s="43">
        <f t="shared" si="306"/>
        <v>0</v>
      </c>
      <c r="L944" s="43">
        <f t="shared" si="307"/>
        <v>0</v>
      </c>
      <c r="M944" s="217">
        <f t="shared" si="313"/>
        <v>0</v>
      </c>
      <c r="N944" s="43"/>
      <c r="P944" s="299"/>
      <c r="Q944" s="299"/>
      <c r="R944" s="288"/>
      <c r="S944" s="288"/>
      <c r="T944" s="217"/>
      <c r="U944" s="288"/>
      <c r="V944" s="288"/>
      <c r="W944" s="203">
        <f t="shared" si="309"/>
        <v>0</v>
      </c>
      <c r="X944" s="203">
        <f t="shared" si="310"/>
        <v>0</v>
      </c>
    </row>
    <row r="945" spans="1:24" ht="16.5" hidden="1" customHeight="1" x14ac:dyDescent="0.2">
      <c r="A945" s="124" t="s">
        <v>126</v>
      </c>
      <c r="B945" s="243" t="s">
        <v>180</v>
      </c>
      <c r="C945" s="353" t="s">
        <v>8</v>
      </c>
      <c r="D945" s="353" t="s">
        <v>614</v>
      </c>
      <c r="E945" s="369" t="s">
        <v>873</v>
      </c>
      <c r="F945" s="369" t="s">
        <v>124</v>
      </c>
      <c r="G945" s="288"/>
      <c r="H945" s="288"/>
      <c r="I945" s="288"/>
      <c r="J945" s="288"/>
      <c r="K945" s="43">
        <f t="shared" si="306"/>
        <v>0</v>
      </c>
      <c r="L945" s="43">
        <f t="shared" si="307"/>
        <v>0</v>
      </c>
      <c r="M945" s="217">
        <f t="shared" si="313"/>
        <v>0</v>
      </c>
      <c r="N945" s="43"/>
      <c r="R945" s="288"/>
      <c r="S945" s="288"/>
      <c r="T945" s="217"/>
      <c r="U945" s="288"/>
      <c r="V945" s="288"/>
      <c r="W945" s="203">
        <f t="shared" si="309"/>
        <v>0</v>
      </c>
      <c r="X945" s="203">
        <f t="shared" si="310"/>
        <v>0</v>
      </c>
    </row>
    <row r="946" spans="1:24" s="307" customFormat="1" ht="30" hidden="1" customHeight="1" x14ac:dyDescent="0.2">
      <c r="A946" s="451" t="s">
        <v>874</v>
      </c>
      <c r="B946" s="306" t="s">
        <v>180</v>
      </c>
      <c r="C946" s="354" t="s">
        <v>8</v>
      </c>
      <c r="D946" s="354" t="s">
        <v>614</v>
      </c>
      <c r="E946" s="450" t="s">
        <v>877</v>
      </c>
      <c r="F946" s="450"/>
      <c r="G946" s="498">
        <f>G947</f>
        <v>0</v>
      </c>
      <c r="H946" s="498">
        <f>H947</f>
        <v>0</v>
      </c>
      <c r="I946" s="591">
        <f>I947</f>
        <v>0</v>
      </c>
      <c r="J946" s="591">
        <f>J947</f>
        <v>0</v>
      </c>
      <c r="K946" s="591">
        <f t="shared" si="306"/>
        <v>0</v>
      </c>
      <c r="L946" s="591">
        <f t="shared" si="307"/>
        <v>0</v>
      </c>
      <c r="M946" s="217">
        <f t="shared" si="313"/>
        <v>0</v>
      </c>
      <c r="N946" s="292"/>
      <c r="R946" s="591">
        <f>R947</f>
        <v>0</v>
      </c>
      <c r="S946" s="591">
        <f>S947</f>
        <v>0</v>
      </c>
      <c r="T946" s="309"/>
      <c r="U946" s="498">
        <f>U947</f>
        <v>0</v>
      </c>
      <c r="V946" s="498">
        <f>V947</f>
        <v>0</v>
      </c>
      <c r="W946" s="310">
        <f t="shared" si="309"/>
        <v>0</v>
      </c>
      <c r="X946" s="310">
        <f t="shared" si="310"/>
        <v>0</v>
      </c>
    </row>
    <row r="947" spans="1:24" ht="37.5" hidden="1" customHeight="1" x14ac:dyDescent="0.2">
      <c r="A947" s="124" t="s">
        <v>646</v>
      </c>
      <c r="B947" s="243" t="s">
        <v>180</v>
      </c>
      <c r="C947" s="353" t="s">
        <v>8</v>
      </c>
      <c r="D947" s="353" t="s">
        <v>614</v>
      </c>
      <c r="E947" s="369" t="s">
        <v>877</v>
      </c>
      <c r="F947" s="369" t="s">
        <v>128</v>
      </c>
      <c r="G947" s="288"/>
      <c r="H947" s="288"/>
      <c r="I947" s="288"/>
      <c r="J947" s="288"/>
      <c r="K947" s="43">
        <f t="shared" si="306"/>
        <v>0</v>
      </c>
      <c r="L947" s="43">
        <f t="shared" si="307"/>
        <v>0</v>
      </c>
      <c r="M947" s="217">
        <f t="shared" si="313"/>
        <v>0</v>
      </c>
      <c r="N947" s="43"/>
      <c r="R947" s="288"/>
      <c r="S947" s="288"/>
      <c r="T947" s="217"/>
      <c r="U947" s="288"/>
      <c r="V947" s="288"/>
      <c r="W947" s="203">
        <f t="shared" si="309"/>
        <v>0</v>
      </c>
      <c r="X947" s="203">
        <f t="shared" si="310"/>
        <v>0</v>
      </c>
    </row>
    <row r="948" spans="1:24" s="307" customFormat="1" ht="29.25" customHeight="1" x14ac:dyDescent="0.2">
      <c r="A948" s="746" t="s">
        <v>1050</v>
      </c>
      <c r="B948" s="306" t="s">
        <v>180</v>
      </c>
      <c r="C948" s="354" t="s">
        <v>8</v>
      </c>
      <c r="D948" s="354" t="s">
        <v>614</v>
      </c>
      <c r="E948" s="719" t="s">
        <v>2019</v>
      </c>
      <c r="F948" s="450"/>
      <c r="G948" s="591">
        <f>G949+G950</f>
        <v>0</v>
      </c>
      <c r="H948" s="591">
        <f>H949+H950</f>
        <v>0</v>
      </c>
      <c r="I948" s="591">
        <f>I949+I950</f>
        <v>19847.934250000002</v>
      </c>
      <c r="J948" s="591">
        <f>J949+J950</f>
        <v>0</v>
      </c>
      <c r="K948" s="591">
        <f t="shared" si="306"/>
        <v>19847.934250000002</v>
      </c>
      <c r="L948" s="591">
        <f t="shared" si="307"/>
        <v>0</v>
      </c>
      <c r="M948" s="217">
        <f t="shared" si="313"/>
        <v>0</v>
      </c>
      <c r="N948" s="292"/>
      <c r="R948" s="591">
        <f>R949+R950</f>
        <v>0</v>
      </c>
      <c r="S948" s="591">
        <f>S949+S950</f>
        <v>0</v>
      </c>
      <c r="T948" s="309"/>
      <c r="U948" s="498">
        <f>U949+U950</f>
        <v>0</v>
      </c>
      <c r="V948" s="498">
        <f>V949+V950</f>
        <v>0</v>
      </c>
      <c r="W948" s="310">
        <f t="shared" si="309"/>
        <v>-19847.934250000002</v>
      </c>
      <c r="X948" s="310">
        <f t="shared" si="310"/>
        <v>0</v>
      </c>
    </row>
    <row r="949" spans="1:24" ht="37.5" customHeight="1" x14ac:dyDescent="0.2">
      <c r="A949" s="739" t="s">
        <v>648</v>
      </c>
      <c r="B949" s="243" t="s">
        <v>180</v>
      </c>
      <c r="C949" s="353" t="s">
        <v>8</v>
      </c>
      <c r="D949" s="353" t="s">
        <v>614</v>
      </c>
      <c r="E949" s="369" t="s">
        <v>2019</v>
      </c>
      <c r="F949" s="369" t="s">
        <v>127</v>
      </c>
      <c r="G949" s="288"/>
      <c r="H949" s="288"/>
      <c r="I949" s="288">
        <v>2306.5310500000001</v>
      </c>
      <c r="J949" s="288"/>
      <c r="K949" s="43">
        <f t="shared" si="306"/>
        <v>2306.5310500000001</v>
      </c>
      <c r="L949" s="43">
        <f t="shared" si="307"/>
        <v>0</v>
      </c>
      <c r="M949" s="217">
        <f t="shared" si="313"/>
        <v>0</v>
      </c>
      <c r="N949" s="43"/>
      <c r="R949" s="288"/>
      <c r="S949" s="288"/>
      <c r="T949" s="217"/>
      <c r="U949" s="288"/>
      <c r="V949" s="288"/>
      <c r="W949" s="203">
        <f t="shared" si="309"/>
        <v>-2306.5310500000001</v>
      </c>
      <c r="X949" s="203">
        <f t="shared" si="310"/>
        <v>0</v>
      </c>
    </row>
    <row r="950" spans="1:24" ht="37.5" customHeight="1" x14ac:dyDescent="0.2">
      <c r="A950" s="739" t="s">
        <v>646</v>
      </c>
      <c r="B950" s="243" t="s">
        <v>180</v>
      </c>
      <c r="C950" s="353" t="s">
        <v>8</v>
      </c>
      <c r="D950" s="353" t="s">
        <v>614</v>
      </c>
      <c r="E950" s="369" t="s">
        <v>2019</v>
      </c>
      <c r="F950" s="369" t="s">
        <v>128</v>
      </c>
      <c r="G950" s="288"/>
      <c r="H950" s="288"/>
      <c r="I950" s="288">
        <v>17541.403200000001</v>
      </c>
      <c r="J950" s="288"/>
      <c r="K950" s="43">
        <f t="shared" si="306"/>
        <v>17541.403200000001</v>
      </c>
      <c r="L950" s="43">
        <f t="shared" si="307"/>
        <v>0</v>
      </c>
      <c r="M950" s="217">
        <f t="shared" si="313"/>
        <v>0</v>
      </c>
      <c r="N950" s="43"/>
      <c r="R950" s="288"/>
      <c r="S950" s="288"/>
      <c r="T950" s="217"/>
      <c r="U950" s="288"/>
      <c r="V950" s="288"/>
      <c r="W950" s="203">
        <f t="shared" si="309"/>
        <v>-17541.403200000001</v>
      </c>
      <c r="X950" s="203">
        <f t="shared" si="310"/>
        <v>0</v>
      </c>
    </row>
    <row r="951" spans="1:24" ht="16.5" customHeight="1" x14ac:dyDescent="0.2">
      <c r="A951" s="746" t="s">
        <v>1448</v>
      </c>
      <c r="B951" s="306" t="s">
        <v>180</v>
      </c>
      <c r="C951" s="354" t="s">
        <v>8</v>
      </c>
      <c r="D951" s="354" t="s">
        <v>614</v>
      </c>
      <c r="E951" s="642" t="s">
        <v>1818</v>
      </c>
      <c r="F951" s="640"/>
      <c r="G951" s="591">
        <f>G952+G955</f>
        <v>4090.2</v>
      </c>
      <c r="H951" s="591">
        <f>H952+H955</f>
        <v>4008.3999999999996</v>
      </c>
      <c r="I951" s="591">
        <f>I952+I955</f>
        <v>4090.2</v>
      </c>
      <c r="J951" s="591">
        <f>J952+J955</f>
        <v>4008.3999999999996</v>
      </c>
      <c r="K951" s="591">
        <f t="shared" si="306"/>
        <v>0</v>
      </c>
      <c r="L951" s="591">
        <f t="shared" si="307"/>
        <v>0</v>
      </c>
      <c r="M951" s="217"/>
      <c r="N951" s="43"/>
      <c r="R951" s="288"/>
      <c r="S951" s="288"/>
      <c r="T951" s="217"/>
      <c r="U951" s="288"/>
      <c r="V951" s="288"/>
      <c r="W951" s="203"/>
      <c r="X951" s="203"/>
    </row>
    <row r="952" spans="1:24" ht="17.25" hidden="1" customHeight="1" x14ac:dyDescent="0.2">
      <c r="A952" s="133" t="s">
        <v>1395</v>
      </c>
      <c r="B952" s="388" t="s">
        <v>180</v>
      </c>
      <c r="C952" s="389" t="s">
        <v>8</v>
      </c>
      <c r="D952" s="389" t="s">
        <v>614</v>
      </c>
      <c r="E952" s="642" t="s">
        <v>1819</v>
      </c>
      <c r="F952" s="390"/>
      <c r="G952" s="391">
        <f>G953</f>
        <v>0</v>
      </c>
      <c r="H952" s="391">
        <f t="shared" ref="H952:J953" si="314">H953</f>
        <v>0</v>
      </c>
      <c r="I952" s="391">
        <f>I953</f>
        <v>0</v>
      </c>
      <c r="J952" s="391">
        <f t="shared" si="314"/>
        <v>0</v>
      </c>
      <c r="K952" s="391">
        <f t="shared" si="306"/>
        <v>0</v>
      </c>
      <c r="L952" s="391">
        <f t="shared" si="307"/>
        <v>0</v>
      </c>
      <c r="M952" s="217"/>
      <c r="N952" s="43"/>
      <c r="R952" s="288"/>
      <c r="S952" s="288"/>
      <c r="T952" s="217"/>
      <c r="U952" s="288"/>
      <c r="V952" s="288"/>
      <c r="W952" s="203"/>
      <c r="X952" s="203"/>
    </row>
    <row r="953" spans="1:24" ht="37.5" hidden="1" customHeight="1" x14ac:dyDescent="0.2">
      <c r="A953" s="133" t="s">
        <v>1821</v>
      </c>
      <c r="B953" s="388" t="s">
        <v>180</v>
      </c>
      <c r="C953" s="389" t="s">
        <v>8</v>
      </c>
      <c r="D953" s="389" t="s">
        <v>614</v>
      </c>
      <c r="E953" s="642" t="s">
        <v>1820</v>
      </c>
      <c r="F953" s="390"/>
      <c r="G953" s="391">
        <f>G954</f>
        <v>0</v>
      </c>
      <c r="H953" s="391">
        <f t="shared" si="314"/>
        <v>0</v>
      </c>
      <c r="I953" s="391">
        <f>I954</f>
        <v>0</v>
      </c>
      <c r="J953" s="391">
        <f t="shared" si="314"/>
        <v>0</v>
      </c>
      <c r="K953" s="391">
        <f t="shared" si="306"/>
        <v>0</v>
      </c>
      <c r="L953" s="391">
        <f t="shared" si="307"/>
        <v>0</v>
      </c>
      <c r="M953" s="248"/>
      <c r="N953" s="43"/>
      <c r="R953" s="288"/>
      <c r="S953" s="288"/>
      <c r="T953" s="217"/>
      <c r="U953" s="288"/>
      <c r="V953" s="288"/>
      <c r="W953" s="203"/>
      <c r="X953" s="203"/>
    </row>
    <row r="954" spans="1:24" ht="28.5" hidden="1" customHeight="1" x14ac:dyDescent="0.2">
      <c r="A954" s="186" t="s">
        <v>1697</v>
      </c>
      <c r="B954" s="243" t="s">
        <v>180</v>
      </c>
      <c r="C954" s="353" t="s">
        <v>8</v>
      </c>
      <c r="D954" s="353" t="s">
        <v>614</v>
      </c>
      <c r="E954" s="369" t="s">
        <v>1820</v>
      </c>
      <c r="F954" s="369">
        <v>243</v>
      </c>
      <c r="G954" s="288"/>
      <c r="H954" s="288"/>
      <c r="I954" s="288"/>
      <c r="J954" s="288"/>
      <c r="K954" s="43">
        <f t="shared" si="306"/>
        <v>0</v>
      </c>
      <c r="L954" s="43">
        <f t="shared" si="307"/>
        <v>0</v>
      </c>
      <c r="M954" s="217"/>
      <c r="N954" s="43"/>
      <c r="R954" s="288"/>
      <c r="S954" s="288"/>
      <c r="T954" s="217"/>
      <c r="U954" s="288"/>
      <c r="V954" s="288"/>
      <c r="W954" s="203"/>
      <c r="X954" s="203"/>
    </row>
    <row r="955" spans="1:24" ht="15.75" customHeight="1" x14ac:dyDescent="0.2">
      <c r="A955" s="742" t="s">
        <v>1789</v>
      </c>
      <c r="B955" s="388" t="s">
        <v>180</v>
      </c>
      <c r="C955" s="389" t="s">
        <v>8</v>
      </c>
      <c r="D955" s="389" t="s">
        <v>614</v>
      </c>
      <c r="E955" s="628" t="s">
        <v>1787</v>
      </c>
      <c r="F955" s="390"/>
      <c r="G955" s="391">
        <f>G956</f>
        <v>4090.2</v>
      </c>
      <c r="H955" s="391">
        <f>H956</f>
        <v>4008.3999999999996</v>
      </c>
      <c r="I955" s="391">
        <f>I956</f>
        <v>4090.2</v>
      </c>
      <c r="J955" s="391">
        <f>J956</f>
        <v>4008.3999999999996</v>
      </c>
      <c r="K955" s="591">
        <f t="shared" si="306"/>
        <v>0</v>
      </c>
      <c r="L955" s="591">
        <f t="shared" si="307"/>
        <v>0</v>
      </c>
      <c r="M955" s="217">
        <f t="shared" si="313"/>
        <v>0</v>
      </c>
      <c r="N955" s="171"/>
      <c r="P955" s="245"/>
      <c r="Q955" s="245"/>
      <c r="R955" s="591">
        <f>SUM(R956)</f>
        <v>0</v>
      </c>
      <c r="S955" s="591">
        <f>SUM(S956)</f>
        <v>0</v>
      </c>
      <c r="T955" s="217"/>
      <c r="U955" s="498">
        <f>SUM(U956)</f>
        <v>0</v>
      </c>
      <c r="V955" s="498">
        <f>SUM(V956)</f>
        <v>0</v>
      </c>
      <c r="W955" s="203"/>
      <c r="X955" s="203"/>
    </row>
    <row r="956" spans="1:24" ht="45.75" customHeight="1" x14ac:dyDescent="0.2">
      <c r="A956" s="742" t="s">
        <v>1788</v>
      </c>
      <c r="B956" s="388" t="s">
        <v>180</v>
      </c>
      <c r="C956" s="389" t="s">
        <v>8</v>
      </c>
      <c r="D956" s="389" t="s">
        <v>614</v>
      </c>
      <c r="E956" s="628" t="s">
        <v>1832</v>
      </c>
      <c r="F956" s="390"/>
      <c r="G956" s="391">
        <f>G957+G958</f>
        <v>4090.2</v>
      </c>
      <c r="H956" s="391">
        <f>H957+H958</f>
        <v>4008.3999999999996</v>
      </c>
      <c r="I956" s="391">
        <f>I957+I958</f>
        <v>4090.2</v>
      </c>
      <c r="J956" s="391">
        <f>J957+J958</f>
        <v>4008.3999999999996</v>
      </c>
      <c r="K956" s="591">
        <f t="shared" si="306"/>
        <v>0</v>
      </c>
      <c r="L956" s="591">
        <f t="shared" si="307"/>
        <v>0</v>
      </c>
      <c r="M956" s="217">
        <f t="shared" si="313"/>
        <v>0</v>
      </c>
      <c r="N956" s="171"/>
      <c r="P956" s="245"/>
      <c r="Q956" s="245"/>
      <c r="R956" s="591">
        <f>R957</f>
        <v>0</v>
      </c>
      <c r="S956" s="591">
        <f>SUM(S957:S957)</f>
        <v>0</v>
      </c>
      <c r="T956" s="217"/>
      <c r="U956" s="498">
        <f>U957</f>
        <v>0</v>
      </c>
      <c r="V956" s="498">
        <f>SUM(V957:V957)</f>
        <v>0</v>
      </c>
      <c r="W956" s="203"/>
      <c r="X956" s="203"/>
    </row>
    <row r="957" spans="1:24" ht="16.5" customHeight="1" x14ac:dyDescent="0.2">
      <c r="A957" s="739" t="s">
        <v>125</v>
      </c>
      <c r="B957" s="243" t="s">
        <v>180</v>
      </c>
      <c r="C957" s="353" t="s">
        <v>8</v>
      </c>
      <c r="D957" s="353" t="s">
        <v>614</v>
      </c>
      <c r="E957" s="493" t="s">
        <v>1832</v>
      </c>
      <c r="F957" s="369">
        <v>612</v>
      </c>
      <c r="G957" s="288">
        <v>1168.6279999999999</v>
      </c>
      <c r="H957" s="654">
        <v>1145.2</v>
      </c>
      <c r="I957" s="288">
        <v>1168.6279999999999</v>
      </c>
      <c r="J957" s="654">
        <v>1145.2</v>
      </c>
      <c r="K957" s="43">
        <f t="shared" si="306"/>
        <v>0</v>
      </c>
      <c r="L957" s="43">
        <f t="shared" si="307"/>
        <v>0</v>
      </c>
      <c r="M957" s="217">
        <f t="shared" si="313"/>
        <v>0</v>
      </c>
      <c r="N957" s="171"/>
      <c r="P957" s="245"/>
      <c r="Q957" s="245"/>
      <c r="R957" s="288">
        <v>0</v>
      </c>
      <c r="S957" s="265">
        <v>0</v>
      </c>
      <c r="T957" s="217"/>
      <c r="U957" s="288">
        <v>0</v>
      </c>
      <c r="V957" s="265">
        <v>0</v>
      </c>
      <c r="W957" s="203"/>
      <c r="X957" s="203"/>
    </row>
    <row r="958" spans="1:24" ht="16.5" customHeight="1" x14ac:dyDescent="0.2">
      <c r="A958" s="739" t="s">
        <v>126</v>
      </c>
      <c r="B958" s="243" t="s">
        <v>180</v>
      </c>
      <c r="C958" s="353" t="s">
        <v>8</v>
      </c>
      <c r="D958" s="353" t="s">
        <v>614</v>
      </c>
      <c r="E958" s="493" t="s">
        <v>1832</v>
      </c>
      <c r="F958" s="369">
        <v>622</v>
      </c>
      <c r="G958" s="288">
        <v>2921.5720000000001</v>
      </c>
      <c r="H958" s="654">
        <v>2863.2</v>
      </c>
      <c r="I958" s="288">
        <v>2921.5720000000001</v>
      </c>
      <c r="J958" s="654">
        <v>2863.2</v>
      </c>
      <c r="K958" s="43">
        <f t="shared" si="306"/>
        <v>0</v>
      </c>
      <c r="L958" s="43">
        <f t="shared" si="307"/>
        <v>0</v>
      </c>
      <c r="M958" s="217"/>
      <c r="N958" s="245"/>
      <c r="P958" s="245"/>
      <c r="Q958" s="245"/>
      <c r="R958" s="288"/>
      <c r="S958" s="265"/>
      <c r="T958" s="217"/>
      <c r="U958" s="288"/>
      <c r="V958" s="265"/>
      <c r="W958" s="203"/>
      <c r="X958" s="203"/>
    </row>
    <row r="959" spans="1:24" s="307" customFormat="1" ht="15" x14ac:dyDescent="0.2">
      <c r="A959" s="746" t="s">
        <v>1305</v>
      </c>
      <c r="B959" s="306" t="s">
        <v>180</v>
      </c>
      <c r="C959" s="354" t="s">
        <v>8</v>
      </c>
      <c r="D959" s="354" t="s">
        <v>614</v>
      </c>
      <c r="E959" s="450">
        <v>7840000000</v>
      </c>
      <c r="F959" s="450"/>
      <c r="G959" s="591">
        <f t="shared" ref="G959:J960" si="315">G960</f>
        <v>713.3</v>
      </c>
      <c r="H959" s="591">
        <f t="shared" si="315"/>
        <v>0</v>
      </c>
      <c r="I959" s="591">
        <f t="shared" si="315"/>
        <v>219.1</v>
      </c>
      <c r="J959" s="591">
        <f t="shared" si="315"/>
        <v>0</v>
      </c>
      <c r="K959" s="591">
        <f t="shared" si="306"/>
        <v>-494.19999999999993</v>
      </c>
      <c r="L959" s="591">
        <f t="shared" si="307"/>
        <v>0</v>
      </c>
      <c r="M959" s="217">
        <f t="shared" si="313"/>
        <v>0</v>
      </c>
      <c r="N959" s="329"/>
      <c r="P959" s="330"/>
      <c r="Q959" s="330"/>
      <c r="R959" s="591">
        <f>R960</f>
        <v>704.1</v>
      </c>
      <c r="S959" s="591">
        <f>S960</f>
        <v>0</v>
      </c>
      <c r="T959" s="309"/>
      <c r="U959" s="498">
        <f>U960</f>
        <v>735.84</v>
      </c>
      <c r="V959" s="498">
        <f>V960</f>
        <v>0</v>
      </c>
      <c r="W959" s="310">
        <f t="shared" si="309"/>
        <v>494.19999999999993</v>
      </c>
      <c r="X959" s="310">
        <f t="shared" si="310"/>
        <v>0</v>
      </c>
    </row>
    <row r="960" spans="1:24" s="307" customFormat="1" ht="15" x14ac:dyDescent="0.2">
      <c r="A960" s="746" t="s">
        <v>1306</v>
      </c>
      <c r="B960" s="306" t="s">
        <v>180</v>
      </c>
      <c r="C960" s="354" t="s">
        <v>8</v>
      </c>
      <c r="D960" s="354" t="s">
        <v>614</v>
      </c>
      <c r="E960" s="450">
        <v>7840100000</v>
      </c>
      <c r="F960" s="450"/>
      <c r="G960" s="591">
        <f t="shared" si="315"/>
        <v>713.3</v>
      </c>
      <c r="H960" s="591">
        <f t="shared" si="315"/>
        <v>0</v>
      </c>
      <c r="I960" s="591">
        <f t="shared" si="315"/>
        <v>219.1</v>
      </c>
      <c r="J960" s="591">
        <f t="shared" si="315"/>
        <v>0</v>
      </c>
      <c r="K960" s="591">
        <f t="shared" si="306"/>
        <v>-494.19999999999993</v>
      </c>
      <c r="L960" s="591">
        <f t="shared" si="307"/>
        <v>0</v>
      </c>
      <c r="M960" s="217">
        <f t="shared" si="313"/>
        <v>0</v>
      </c>
      <c r="N960" s="329"/>
      <c r="P960" s="330"/>
      <c r="Q960" s="330"/>
      <c r="R960" s="591">
        <f>R961</f>
        <v>704.1</v>
      </c>
      <c r="S960" s="591">
        <f>S961</f>
        <v>0</v>
      </c>
      <c r="T960" s="309"/>
      <c r="U960" s="498">
        <f>U961</f>
        <v>735.84</v>
      </c>
      <c r="V960" s="498">
        <f>V961</f>
        <v>0</v>
      </c>
      <c r="W960" s="310">
        <f t="shared" si="309"/>
        <v>494.19999999999993</v>
      </c>
      <c r="X960" s="310">
        <f t="shared" si="310"/>
        <v>0</v>
      </c>
    </row>
    <row r="961" spans="1:24" s="307" customFormat="1" ht="15" x14ac:dyDescent="0.2">
      <c r="A961" s="746" t="s">
        <v>726</v>
      </c>
      <c r="B961" s="306" t="s">
        <v>180</v>
      </c>
      <c r="C961" s="354" t="s">
        <v>8</v>
      </c>
      <c r="D961" s="354" t="s">
        <v>614</v>
      </c>
      <c r="E961" s="582" t="s">
        <v>1307</v>
      </c>
      <c r="F961" s="450"/>
      <c r="G961" s="591">
        <f>G962+G963</f>
        <v>713.3</v>
      </c>
      <c r="H961" s="591">
        <f>H962+H963</f>
        <v>0</v>
      </c>
      <c r="I961" s="591">
        <f>I962+I963</f>
        <v>219.1</v>
      </c>
      <c r="J961" s="591">
        <f>J962+J963</f>
        <v>0</v>
      </c>
      <c r="K961" s="591">
        <f t="shared" si="306"/>
        <v>-494.19999999999993</v>
      </c>
      <c r="L961" s="591">
        <f t="shared" si="307"/>
        <v>0</v>
      </c>
      <c r="M961" s="217">
        <f t="shared" si="313"/>
        <v>0</v>
      </c>
      <c r="N961" s="329"/>
      <c r="P961" s="330"/>
      <c r="Q961" s="330"/>
      <c r="R961" s="591">
        <f>R962+R963</f>
        <v>704.1</v>
      </c>
      <c r="S961" s="591">
        <f>S962+S963</f>
        <v>0</v>
      </c>
      <c r="T961" s="309"/>
      <c r="U961" s="498">
        <f>U962+U963</f>
        <v>735.84</v>
      </c>
      <c r="V961" s="498">
        <f>V962+V963</f>
        <v>0</v>
      </c>
      <c r="W961" s="310">
        <f t="shared" si="309"/>
        <v>494.19999999999993</v>
      </c>
      <c r="X961" s="310">
        <f t="shared" si="310"/>
        <v>0</v>
      </c>
    </row>
    <row r="962" spans="1:24" ht="15" x14ac:dyDescent="0.2">
      <c r="A962" s="739" t="s">
        <v>125</v>
      </c>
      <c r="B962" s="243" t="s">
        <v>180</v>
      </c>
      <c r="C962" s="353" t="s">
        <v>8</v>
      </c>
      <c r="D962" s="353" t="s">
        <v>614</v>
      </c>
      <c r="E962" s="369" t="s">
        <v>1307</v>
      </c>
      <c r="F962" s="369" t="s">
        <v>123</v>
      </c>
      <c r="G962" s="288">
        <v>76</v>
      </c>
      <c r="H962" s="288"/>
      <c r="I962" s="288">
        <v>76</v>
      </c>
      <c r="J962" s="288"/>
      <c r="K962" s="43">
        <f t="shared" si="306"/>
        <v>0</v>
      </c>
      <c r="L962" s="43">
        <f t="shared" si="307"/>
        <v>0</v>
      </c>
      <c r="M962" s="217">
        <f t="shared" si="313"/>
        <v>0</v>
      </c>
      <c r="N962" s="245"/>
      <c r="P962" s="258">
        <v>4008.4</v>
      </c>
      <c r="Q962" s="258"/>
      <c r="R962" s="288">
        <v>112.2</v>
      </c>
      <c r="S962" s="288"/>
      <c r="T962" s="217"/>
      <c r="U962" s="288">
        <v>117.96</v>
      </c>
      <c r="V962" s="288">
        <v>0</v>
      </c>
      <c r="W962" s="203">
        <f t="shared" si="309"/>
        <v>0</v>
      </c>
      <c r="X962" s="203">
        <f t="shared" si="310"/>
        <v>0</v>
      </c>
    </row>
    <row r="963" spans="1:24" ht="15" x14ac:dyDescent="0.2">
      <c r="A963" s="739" t="s">
        <v>126</v>
      </c>
      <c r="B963" s="243" t="s">
        <v>180</v>
      </c>
      <c r="C963" s="353" t="s">
        <v>8</v>
      </c>
      <c r="D963" s="353" t="s">
        <v>614</v>
      </c>
      <c r="E963" s="369" t="s">
        <v>1307</v>
      </c>
      <c r="F963" s="369" t="s">
        <v>124</v>
      </c>
      <c r="G963" s="288">
        <v>637.29999999999995</v>
      </c>
      <c r="H963" s="288"/>
      <c r="I963" s="288">
        <v>143.1</v>
      </c>
      <c r="J963" s="288"/>
      <c r="K963" s="43">
        <f t="shared" si="306"/>
        <v>-494.19999999999993</v>
      </c>
      <c r="L963" s="43">
        <f t="shared" si="307"/>
        <v>0</v>
      </c>
      <c r="M963" s="217">
        <f t="shared" si="313"/>
        <v>0</v>
      </c>
      <c r="N963" s="245"/>
      <c r="P963" s="258"/>
      <c r="Q963" s="258"/>
      <c r="R963" s="288">
        <v>591.9</v>
      </c>
      <c r="S963" s="288"/>
      <c r="T963" s="217"/>
      <c r="U963" s="288">
        <v>617.88</v>
      </c>
      <c r="V963" s="288">
        <v>0</v>
      </c>
      <c r="W963" s="203">
        <f t="shared" si="309"/>
        <v>494.19999999999993</v>
      </c>
      <c r="X963" s="203">
        <f t="shared" si="310"/>
        <v>0</v>
      </c>
    </row>
    <row r="964" spans="1:24" s="307" customFormat="1" ht="25.5" hidden="1" x14ac:dyDescent="0.2">
      <c r="A964" s="632" t="s">
        <v>1312</v>
      </c>
      <c r="B964" s="306" t="s">
        <v>180</v>
      </c>
      <c r="C964" s="354" t="s">
        <v>8</v>
      </c>
      <c r="D964" s="354" t="s">
        <v>614</v>
      </c>
      <c r="E964" s="450" t="s">
        <v>875</v>
      </c>
      <c r="F964" s="450"/>
      <c r="G964" s="498">
        <f>G971+G965</f>
        <v>0</v>
      </c>
      <c r="H964" s="591">
        <f>H971+H965</f>
        <v>0</v>
      </c>
      <c r="I964" s="591">
        <f>I971+I965</f>
        <v>0</v>
      </c>
      <c r="J964" s="591">
        <f>J971+J965</f>
        <v>0</v>
      </c>
      <c r="K964" s="591">
        <f t="shared" si="306"/>
        <v>0</v>
      </c>
      <c r="L964" s="591">
        <f t="shared" si="307"/>
        <v>0</v>
      </c>
      <c r="M964" s="217">
        <f t="shared" si="313"/>
        <v>0</v>
      </c>
      <c r="N964" s="313"/>
      <c r="R964" s="591">
        <f>R971+R965</f>
        <v>292952.82679999998</v>
      </c>
      <c r="S964" s="591">
        <f>S971+S965</f>
        <v>264192.42411000002</v>
      </c>
      <c r="T964" s="309"/>
      <c r="U964" s="498">
        <f>U971</f>
        <v>0</v>
      </c>
      <c r="V964" s="498">
        <f>V971</f>
        <v>0</v>
      </c>
      <c r="W964" s="310">
        <f t="shared" si="309"/>
        <v>0</v>
      </c>
      <c r="X964" s="310">
        <f t="shared" si="310"/>
        <v>0</v>
      </c>
    </row>
    <row r="965" spans="1:24" s="307" customFormat="1" ht="15" hidden="1" x14ac:dyDescent="0.2">
      <c r="A965" s="632" t="s">
        <v>1313</v>
      </c>
      <c r="B965" s="306" t="s">
        <v>180</v>
      </c>
      <c r="C965" s="354" t="s">
        <v>8</v>
      </c>
      <c r="D965" s="354" t="s">
        <v>614</v>
      </c>
      <c r="E965" s="582">
        <v>7850100000</v>
      </c>
      <c r="F965" s="582"/>
      <c r="G965" s="591">
        <f>G966+G969</f>
        <v>0</v>
      </c>
      <c r="H965" s="591">
        <f>H966+H969</f>
        <v>0</v>
      </c>
      <c r="I965" s="591">
        <f>I966+I969</f>
        <v>0</v>
      </c>
      <c r="J965" s="591">
        <f>J966+J969</f>
        <v>0</v>
      </c>
      <c r="K965" s="591">
        <f t="shared" si="306"/>
        <v>0</v>
      </c>
      <c r="L965" s="591">
        <f t="shared" si="307"/>
        <v>0</v>
      </c>
      <c r="M965" s="217"/>
      <c r="N965" s="313"/>
      <c r="R965" s="591">
        <f>R966+R969</f>
        <v>292952.82679999998</v>
      </c>
      <c r="S965" s="591">
        <f>S966+S969</f>
        <v>264192.42411000002</v>
      </c>
      <c r="T965" s="309"/>
      <c r="U965" s="591"/>
      <c r="V965" s="591"/>
      <c r="W965" s="310"/>
      <c r="X965" s="310"/>
    </row>
    <row r="966" spans="1:24" s="307" customFormat="1" ht="15" hidden="1" x14ac:dyDescent="0.2">
      <c r="A966" s="632" t="s">
        <v>1504</v>
      </c>
      <c r="B966" s="306" t="s">
        <v>180</v>
      </c>
      <c r="C966" s="354" t="s">
        <v>8</v>
      </c>
      <c r="D966" s="354" t="s">
        <v>614</v>
      </c>
      <c r="E966" s="599" t="s">
        <v>1546</v>
      </c>
      <c r="F966" s="582"/>
      <c r="G966" s="591">
        <f>G968+G967</f>
        <v>0</v>
      </c>
      <c r="H966" s="591">
        <f>H968+H967</f>
        <v>0</v>
      </c>
      <c r="I966" s="591">
        <f>I968+I967</f>
        <v>0</v>
      </c>
      <c r="J966" s="591">
        <f>J968+J967</f>
        <v>0</v>
      </c>
      <c r="K966" s="591">
        <f t="shared" si="306"/>
        <v>0</v>
      </c>
      <c r="L966" s="591">
        <f t="shared" si="307"/>
        <v>0</v>
      </c>
      <c r="M966" s="217"/>
      <c r="N966" s="313"/>
      <c r="R966" s="591">
        <f>R968</f>
        <v>283894.71799999999</v>
      </c>
      <c r="S966" s="591">
        <f>S968</f>
        <v>264192.42411000002</v>
      </c>
      <c r="T966" s="309"/>
      <c r="U966" s="591"/>
      <c r="V966" s="591"/>
      <c r="W966" s="310"/>
      <c r="X966" s="310"/>
    </row>
    <row r="967" spans="1:24" s="307" customFormat="1" ht="15" hidden="1" x14ac:dyDescent="0.2">
      <c r="A967" s="186" t="s">
        <v>1697</v>
      </c>
      <c r="B967" s="243" t="s">
        <v>180</v>
      </c>
      <c r="C967" s="353" t="s">
        <v>8</v>
      </c>
      <c r="D967" s="353" t="s">
        <v>614</v>
      </c>
      <c r="E967" s="369" t="s">
        <v>1546</v>
      </c>
      <c r="F967" s="369">
        <v>243</v>
      </c>
      <c r="G967" s="288"/>
      <c r="H967" s="288"/>
      <c r="I967" s="288"/>
      <c r="J967" s="288"/>
      <c r="K967" s="43">
        <f t="shared" si="306"/>
        <v>0</v>
      </c>
      <c r="L967" s="43">
        <f t="shared" si="307"/>
        <v>0</v>
      </c>
      <c r="M967" s="217"/>
      <c r="N967" s="313"/>
      <c r="R967" s="591"/>
      <c r="S967" s="591"/>
      <c r="T967" s="309"/>
      <c r="U967" s="591"/>
      <c r="V967" s="591"/>
      <c r="W967" s="310"/>
      <c r="X967" s="310"/>
    </row>
    <row r="968" spans="1:24" s="307" customFormat="1" ht="15" hidden="1" x14ac:dyDescent="0.2">
      <c r="A968" s="124" t="s">
        <v>126</v>
      </c>
      <c r="B968" s="243" t="s">
        <v>180</v>
      </c>
      <c r="C968" s="353" t="s">
        <v>8</v>
      </c>
      <c r="D968" s="353" t="s">
        <v>614</v>
      </c>
      <c r="E968" s="369" t="s">
        <v>1546</v>
      </c>
      <c r="F968" s="369" t="s">
        <v>124</v>
      </c>
      <c r="G968" s="288"/>
      <c r="H968" s="654"/>
      <c r="I968" s="288"/>
      <c r="J968" s="654"/>
      <c r="K968" s="43">
        <f t="shared" si="306"/>
        <v>0</v>
      </c>
      <c r="L968" s="43">
        <f t="shared" si="307"/>
        <v>0</v>
      </c>
      <c r="M968" s="217" t="s">
        <v>1797</v>
      </c>
      <c r="N968" s="313"/>
      <c r="R968" s="288">
        <v>283894.71799999999</v>
      </c>
      <c r="S968" s="288">
        <v>264192.42411000002</v>
      </c>
      <c r="T968" s="309"/>
      <c r="U968" s="591"/>
      <c r="V968" s="591"/>
      <c r="W968" s="310"/>
      <c r="X968" s="310"/>
    </row>
    <row r="969" spans="1:24" s="307" customFormat="1" ht="25.5" hidden="1" x14ac:dyDescent="0.2">
      <c r="A969" s="133" t="s">
        <v>1659</v>
      </c>
      <c r="B969" s="388" t="s">
        <v>180</v>
      </c>
      <c r="C969" s="389" t="s">
        <v>8</v>
      </c>
      <c r="D969" s="389" t="s">
        <v>614</v>
      </c>
      <c r="E969" s="515" t="s">
        <v>1658</v>
      </c>
      <c r="F969" s="390"/>
      <c r="G969" s="391">
        <f>G970</f>
        <v>0</v>
      </c>
      <c r="H969" s="391">
        <f>H970</f>
        <v>0</v>
      </c>
      <c r="I969" s="391">
        <f>I970</f>
        <v>0</v>
      </c>
      <c r="J969" s="391">
        <f>J970</f>
        <v>0</v>
      </c>
      <c r="K969" s="391">
        <f t="shared" si="306"/>
        <v>0</v>
      </c>
      <c r="L969" s="391">
        <f t="shared" si="307"/>
        <v>0</v>
      </c>
      <c r="M969" s="217"/>
      <c r="N969" s="313"/>
      <c r="R969" s="391">
        <f>R970</f>
        <v>9058.1088</v>
      </c>
      <c r="S969" s="391">
        <f>S970</f>
        <v>0</v>
      </c>
      <c r="T969" s="309"/>
      <c r="U969" s="591"/>
      <c r="V969" s="591"/>
      <c r="W969" s="310"/>
      <c r="X969" s="310"/>
    </row>
    <row r="970" spans="1:24" s="307" customFormat="1" ht="15" hidden="1" x14ac:dyDescent="0.2">
      <c r="A970" s="124" t="s">
        <v>126</v>
      </c>
      <c r="B970" s="243" t="s">
        <v>180</v>
      </c>
      <c r="C970" s="353" t="s">
        <v>8</v>
      </c>
      <c r="D970" s="353" t="s">
        <v>614</v>
      </c>
      <c r="E970" s="369" t="s">
        <v>1658</v>
      </c>
      <c r="F970" s="369" t="s">
        <v>124</v>
      </c>
      <c r="G970" s="288"/>
      <c r="H970" s="288"/>
      <c r="I970" s="288"/>
      <c r="J970" s="288"/>
      <c r="K970" s="43">
        <f t="shared" si="306"/>
        <v>0</v>
      </c>
      <c r="L970" s="43">
        <f t="shared" si="307"/>
        <v>0</v>
      </c>
      <c r="M970" s="217" t="s">
        <v>1797</v>
      </c>
      <c r="N970" s="313"/>
      <c r="R970" s="288">
        <v>9058.1088</v>
      </c>
      <c r="S970" s="288"/>
      <c r="T970" s="309"/>
      <c r="U970" s="591"/>
      <c r="V970" s="591"/>
      <c r="W970" s="310"/>
      <c r="X970" s="310"/>
    </row>
    <row r="971" spans="1:24" s="307" customFormat="1" ht="12" hidden="1" customHeight="1" x14ac:dyDescent="0.2">
      <c r="A971" s="451" t="s">
        <v>1202</v>
      </c>
      <c r="B971" s="306" t="s">
        <v>180</v>
      </c>
      <c r="C971" s="354" t="s">
        <v>8</v>
      </c>
      <c r="D971" s="354" t="s">
        <v>614</v>
      </c>
      <c r="E971" s="450" t="s">
        <v>876</v>
      </c>
      <c r="F971" s="450"/>
      <c r="G971" s="498">
        <f t="shared" ref="G971:J972" si="316">G972</f>
        <v>0</v>
      </c>
      <c r="H971" s="498">
        <f t="shared" si="316"/>
        <v>0</v>
      </c>
      <c r="I971" s="591">
        <f t="shared" si="316"/>
        <v>0</v>
      </c>
      <c r="J971" s="591">
        <f t="shared" si="316"/>
        <v>0</v>
      </c>
      <c r="K971" s="591">
        <f t="shared" si="306"/>
        <v>0</v>
      </c>
      <c r="L971" s="591">
        <f t="shared" si="307"/>
        <v>0</v>
      </c>
      <c r="M971" s="217">
        <f t="shared" si="313"/>
        <v>0</v>
      </c>
      <c r="N971" s="313"/>
      <c r="R971" s="591">
        <f>R972</f>
        <v>0</v>
      </c>
      <c r="S971" s="591">
        <f>S972</f>
        <v>0</v>
      </c>
      <c r="T971" s="309"/>
      <c r="U971" s="498">
        <f>U972</f>
        <v>0</v>
      </c>
      <c r="V971" s="498">
        <f>V972</f>
        <v>0</v>
      </c>
      <c r="W971" s="310">
        <f t="shared" si="309"/>
        <v>0</v>
      </c>
      <c r="X971" s="310">
        <f t="shared" si="310"/>
        <v>0</v>
      </c>
    </row>
    <row r="972" spans="1:24" s="307" customFormat="1" ht="27.75" hidden="1" customHeight="1" x14ac:dyDescent="0.2">
      <c r="A972" s="451" t="s">
        <v>1203</v>
      </c>
      <c r="B972" s="306" t="s">
        <v>180</v>
      </c>
      <c r="C972" s="354" t="s">
        <v>8</v>
      </c>
      <c r="D972" s="354" t="s">
        <v>614</v>
      </c>
      <c r="E972" s="450" t="s">
        <v>1201</v>
      </c>
      <c r="F972" s="450"/>
      <c r="G972" s="498">
        <f t="shared" si="316"/>
        <v>0</v>
      </c>
      <c r="H972" s="498">
        <f t="shared" si="316"/>
        <v>0</v>
      </c>
      <c r="I972" s="591">
        <f t="shared" si="316"/>
        <v>0</v>
      </c>
      <c r="J972" s="591">
        <f t="shared" si="316"/>
        <v>0</v>
      </c>
      <c r="K972" s="591">
        <f t="shared" si="306"/>
        <v>0</v>
      </c>
      <c r="L972" s="591">
        <f t="shared" si="307"/>
        <v>0</v>
      </c>
      <c r="M972" s="217">
        <f t="shared" si="313"/>
        <v>0</v>
      </c>
      <c r="N972" s="313"/>
      <c r="P972" s="313"/>
      <c r="Q972" s="313"/>
      <c r="R972" s="591">
        <f>R973</f>
        <v>0</v>
      </c>
      <c r="S972" s="591">
        <f>S973</f>
        <v>0</v>
      </c>
      <c r="T972" s="309"/>
      <c r="U972" s="498">
        <f>U973</f>
        <v>0</v>
      </c>
      <c r="V972" s="498">
        <f>V973</f>
        <v>0</v>
      </c>
      <c r="W972" s="310">
        <f t="shared" si="309"/>
        <v>0</v>
      </c>
      <c r="X972" s="310">
        <f t="shared" si="310"/>
        <v>0</v>
      </c>
    </row>
    <row r="973" spans="1:24" ht="19.5" hidden="1" customHeight="1" x14ac:dyDescent="0.2">
      <c r="A973" s="124" t="s">
        <v>126</v>
      </c>
      <c r="B973" s="243" t="s">
        <v>180</v>
      </c>
      <c r="C973" s="353" t="s">
        <v>8</v>
      </c>
      <c r="D973" s="353" t="s">
        <v>614</v>
      </c>
      <c r="E973" s="369" t="s">
        <v>1201</v>
      </c>
      <c r="F973" s="369" t="s">
        <v>124</v>
      </c>
      <c r="G973" s="288"/>
      <c r="H973" s="288"/>
      <c r="I973" s="288"/>
      <c r="J973" s="288"/>
      <c r="K973" s="43">
        <f t="shared" si="306"/>
        <v>0</v>
      </c>
      <c r="L973" s="43">
        <f t="shared" si="307"/>
        <v>0</v>
      </c>
      <c r="M973" s="217">
        <f t="shared" si="313"/>
        <v>0</v>
      </c>
      <c r="N973" s="299"/>
      <c r="P973" s="299"/>
      <c r="Q973" s="299"/>
      <c r="R973" s="288"/>
      <c r="S973" s="288"/>
      <c r="T973" s="217"/>
      <c r="U973" s="288"/>
      <c r="V973" s="288"/>
      <c r="W973" s="203">
        <f t="shared" si="309"/>
        <v>0</v>
      </c>
      <c r="X973" s="203">
        <f t="shared" si="310"/>
        <v>0</v>
      </c>
    </row>
    <row r="974" spans="1:24" ht="25.5" x14ac:dyDescent="0.2">
      <c r="A974" s="746" t="s">
        <v>1550</v>
      </c>
      <c r="B974" s="306" t="s">
        <v>180</v>
      </c>
      <c r="C974" s="354" t="s">
        <v>8</v>
      </c>
      <c r="D974" s="354" t="s">
        <v>614</v>
      </c>
      <c r="E974" s="599" t="s">
        <v>1547</v>
      </c>
      <c r="F974" s="582"/>
      <c r="G974" s="591">
        <f t="shared" ref="G974:J976" si="317">G975</f>
        <v>0</v>
      </c>
      <c r="H974" s="591">
        <f t="shared" si="317"/>
        <v>0</v>
      </c>
      <c r="I974" s="591">
        <f t="shared" si="317"/>
        <v>48.981000000000002</v>
      </c>
      <c r="J974" s="591">
        <f t="shared" si="317"/>
        <v>0</v>
      </c>
      <c r="K974" s="591">
        <f t="shared" si="306"/>
        <v>48.981000000000002</v>
      </c>
      <c r="L974" s="591">
        <f t="shared" si="307"/>
        <v>0</v>
      </c>
      <c r="M974" s="217"/>
      <c r="N974" s="299"/>
      <c r="P974" s="299"/>
      <c r="Q974" s="299"/>
      <c r="R974" s="591">
        <f t="shared" ref="R974:S976" si="318">R975</f>
        <v>2846.5784600000002</v>
      </c>
      <c r="S974" s="591">
        <f t="shared" si="318"/>
        <v>0</v>
      </c>
      <c r="T974" s="217"/>
      <c r="U974" s="288"/>
      <c r="V974" s="288"/>
      <c r="W974" s="203"/>
      <c r="X974" s="203"/>
    </row>
    <row r="975" spans="1:24" ht="25.5" x14ac:dyDescent="0.2">
      <c r="A975" s="746" t="s">
        <v>1551</v>
      </c>
      <c r="B975" s="306" t="s">
        <v>180</v>
      </c>
      <c r="C975" s="354" t="s">
        <v>8</v>
      </c>
      <c r="D975" s="354" t="s">
        <v>614</v>
      </c>
      <c r="E975" s="599" t="s">
        <v>1548</v>
      </c>
      <c r="F975" s="582"/>
      <c r="G975" s="591">
        <f t="shared" si="317"/>
        <v>0</v>
      </c>
      <c r="H975" s="591">
        <f t="shared" si="317"/>
        <v>0</v>
      </c>
      <c r="I975" s="591">
        <f t="shared" si="317"/>
        <v>48.981000000000002</v>
      </c>
      <c r="J975" s="591">
        <f t="shared" si="317"/>
        <v>0</v>
      </c>
      <c r="K975" s="591">
        <f t="shared" si="306"/>
        <v>48.981000000000002</v>
      </c>
      <c r="L975" s="591">
        <f t="shared" si="307"/>
        <v>0</v>
      </c>
      <c r="M975" s="217"/>
      <c r="N975" s="299"/>
      <c r="P975" s="299"/>
      <c r="Q975" s="299"/>
      <c r="R975" s="591">
        <f t="shared" si="318"/>
        <v>2846.5784600000002</v>
      </c>
      <c r="S975" s="591">
        <f t="shared" si="318"/>
        <v>0</v>
      </c>
      <c r="T975" s="217"/>
      <c r="U975" s="288"/>
      <c r="V975" s="288"/>
      <c r="W975" s="203"/>
      <c r="X975" s="203"/>
    </row>
    <row r="976" spans="1:24" ht="25.5" x14ac:dyDescent="0.2">
      <c r="A976" s="746" t="s">
        <v>1552</v>
      </c>
      <c r="B976" s="306" t="s">
        <v>180</v>
      </c>
      <c r="C976" s="354" t="s">
        <v>8</v>
      </c>
      <c r="D976" s="354" t="s">
        <v>614</v>
      </c>
      <c r="E976" s="599" t="s">
        <v>1549</v>
      </c>
      <c r="F976" s="582"/>
      <c r="G976" s="591">
        <f t="shared" si="317"/>
        <v>0</v>
      </c>
      <c r="H976" s="591">
        <f t="shared" si="317"/>
        <v>0</v>
      </c>
      <c r="I976" s="591">
        <f t="shared" si="317"/>
        <v>48.981000000000002</v>
      </c>
      <c r="J976" s="591">
        <f t="shared" si="317"/>
        <v>0</v>
      </c>
      <c r="K976" s="591">
        <f t="shared" si="306"/>
        <v>48.981000000000002</v>
      </c>
      <c r="L976" s="591">
        <f t="shared" si="307"/>
        <v>0</v>
      </c>
      <c r="M976" s="217"/>
      <c r="N976" s="299"/>
      <c r="P976" s="299"/>
      <c r="Q976" s="299"/>
      <c r="R976" s="591">
        <f t="shared" si="318"/>
        <v>2846.5784600000002</v>
      </c>
      <c r="S976" s="591">
        <f t="shared" si="318"/>
        <v>0</v>
      </c>
      <c r="T976" s="217"/>
      <c r="U976" s="288"/>
      <c r="V976" s="288"/>
      <c r="W976" s="203"/>
      <c r="X976" s="203"/>
    </row>
    <row r="977" spans="1:24" ht="15" x14ac:dyDescent="0.2">
      <c r="A977" s="739" t="s">
        <v>1553</v>
      </c>
      <c r="B977" s="243" t="s">
        <v>180</v>
      </c>
      <c r="C977" s="353" t="s">
        <v>8</v>
      </c>
      <c r="D977" s="353" t="s">
        <v>614</v>
      </c>
      <c r="E977" s="369" t="s">
        <v>1549</v>
      </c>
      <c r="F977" s="369">
        <v>622</v>
      </c>
      <c r="G977" s="288">
        <v>0</v>
      </c>
      <c r="H977" s="288"/>
      <c r="I977" s="288">
        <v>48.981000000000002</v>
      </c>
      <c r="J977" s="288"/>
      <c r="K977" s="43">
        <f t="shared" si="306"/>
        <v>48.981000000000002</v>
      </c>
      <c r="L977" s="43">
        <f t="shared" si="307"/>
        <v>0</v>
      </c>
      <c r="M977" s="217"/>
      <c r="N977" s="299"/>
      <c r="P977" s="299"/>
      <c r="Q977" s="299"/>
      <c r="R977" s="288">
        <v>2846.5784600000002</v>
      </c>
      <c r="S977" s="288"/>
      <c r="T977" s="217"/>
      <c r="U977" s="288"/>
      <c r="V977" s="288"/>
      <c r="W977" s="203"/>
      <c r="X977" s="203"/>
    </row>
    <row r="978" spans="1:24" s="307" customFormat="1" ht="25.5" x14ac:dyDescent="0.2">
      <c r="A978" s="746" t="s">
        <v>1297</v>
      </c>
      <c r="B978" s="306" t="s">
        <v>180</v>
      </c>
      <c r="C978" s="354" t="s">
        <v>8</v>
      </c>
      <c r="D978" s="354" t="s">
        <v>614</v>
      </c>
      <c r="E978" s="450" t="s">
        <v>729</v>
      </c>
      <c r="F978" s="450"/>
      <c r="G978" s="591">
        <f t="shared" ref="G978:J979" si="319">G979</f>
        <v>280.08979999999997</v>
      </c>
      <c r="H978" s="591">
        <f t="shared" si="319"/>
        <v>0</v>
      </c>
      <c r="I978" s="591">
        <f t="shared" si="319"/>
        <v>280.08980000000003</v>
      </c>
      <c r="J978" s="591">
        <f t="shared" si="319"/>
        <v>0</v>
      </c>
      <c r="K978" s="591">
        <f t="shared" si="306"/>
        <v>0</v>
      </c>
      <c r="L978" s="591">
        <f t="shared" si="307"/>
        <v>0</v>
      </c>
      <c r="M978" s="217">
        <f t="shared" si="313"/>
        <v>5.6843418860808015E-14</v>
      </c>
      <c r="N978" s="313"/>
      <c r="R978" s="591">
        <f>R979</f>
        <v>120</v>
      </c>
      <c r="S978" s="591">
        <f>S979</f>
        <v>0</v>
      </c>
      <c r="T978" s="309">
        <f>I978-G978</f>
        <v>0</v>
      </c>
      <c r="U978" s="498">
        <f>U979</f>
        <v>3.9446400000000001</v>
      </c>
      <c r="V978" s="498">
        <f>V979</f>
        <v>0</v>
      </c>
      <c r="W978" s="310">
        <f t="shared" si="309"/>
        <v>0</v>
      </c>
      <c r="X978" s="310">
        <f t="shared" si="310"/>
        <v>0</v>
      </c>
    </row>
    <row r="979" spans="1:24" s="307" customFormat="1" ht="15" x14ac:dyDescent="0.2">
      <c r="A979" s="746" t="s">
        <v>733</v>
      </c>
      <c r="B979" s="306" t="s">
        <v>180</v>
      </c>
      <c r="C979" s="354" t="s">
        <v>8</v>
      </c>
      <c r="D979" s="354" t="s">
        <v>614</v>
      </c>
      <c r="E979" s="450" t="s">
        <v>730</v>
      </c>
      <c r="F979" s="450"/>
      <c r="G979" s="591">
        <f t="shared" si="319"/>
        <v>280.08979999999997</v>
      </c>
      <c r="H979" s="591">
        <f t="shared" si="319"/>
        <v>0</v>
      </c>
      <c r="I979" s="591">
        <f t="shared" si="319"/>
        <v>280.08980000000003</v>
      </c>
      <c r="J979" s="591">
        <f t="shared" si="319"/>
        <v>0</v>
      </c>
      <c r="K979" s="591">
        <f t="shared" ref="K979:K1025" si="320">I979-G979</f>
        <v>0</v>
      </c>
      <c r="L979" s="591">
        <f t="shared" ref="L979:L1025" si="321">J979-H979</f>
        <v>0</v>
      </c>
      <c r="M979" s="217">
        <f t="shared" si="313"/>
        <v>5.6843418860808015E-14</v>
      </c>
      <c r="N979" s="313"/>
      <c r="P979" s="313"/>
      <c r="Q979" s="313"/>
      <c r="R979" s="591">
        <f>R980</f>
        <v>120</v>
      </c>
      <c r="S979" s="591">
        <f>S980</f>
        <v>0</v>
      </c>
      <c r="T979" s="309">
        <f>I979-G979</f>
        <v>0</v>
      </c>
      <c r="U979" s="498">
        <f>U980</f>
        <v>3.9446400000000001</v>
      </c>
      <c r="V979" s="498">
        <f>V980</f>
        <v>0</v>
      </c>
      <c r="W979" s="310">
        <f t="shared" si="309"/>
        <v>0</v>
      </c>
      <c r="X979" s="310">
        <f t="shared" si="310"/>
        <v>0</v>
      </c>
    </row>
    <row r="980" spans="1:24" s="307" customFormat="1" ht="15" x14ac:dyDescent="0.2">
      <c r="A980" s="746" t="s">
        <v>734</v>
      </c>
      <c r="B980" s="306" t="s">
        <v>180</v>
      </c>
      <c r="C980" s="354" t="s">
        <v>8</v>
      </c>
      <c r="D980" s="354" t="s">
        <v>614</v>
      </c>
      <c r="E980" s="450">
        <v>8200782460</v>
      </c>
      <c r="F980" s="450"/>
      <c r="G980" s="591">
        <f>G981+G982</f>
        <v>280.08979999999997</v>
      </c>
      <c r="H980" s="591">
        <f>H981+H982</f>
        <v>0</v>
      </c>
      <c r="I980" s="591">
        <f>I981+I982</f>
        <v>280.08980000000003</v>
      </c>
      <c r="J980" s="591">
        <f>J981+J982</f>
        <v>0</v>
      </c>
      <c r="K980" s="591">
        <f t="shared" si="320"/>
        <v>0</v>
      </c>
      <c r="L980" s="591">
        <f t="shared" si="321"/>
        <v>0</v>
      </c>
      <c r="M980" s="217">
        <f t="shared" si="313"/>
        <v>5.6843418860808015E-14</v>
      </c>
      <c r="N980" s="313"/>
      <c r="P980" s="313"/>
      <c r="Q980" s="313"/>
      <c r="R980" s="591">
        <f>R981+R982</f>
        <v>120</v>
      </c>
      <c r="S980" s="591">
        <f>S981+S982</f>
        <v>0</v>
      </c>
      <c r="T980" s="309">
        <f>I980-G980</f>
        <v>0</v>
      </c>
      <c r="U980" s="498">
        <f>U981+U982</f>
        <v>3.9446400000000001</v>
      </c>
      <c r="V980" s="498">
        <f>V981+V982</f>
        <v>0</v>
      </c>
      <c r="W980" s="310">
        <f t="shared" si="309"/>
        <v>0</v>
      </c>
      <c r="X980" s="310">
        <f t="shared" si="310"/>
        <v>0</v>
      </c>
    </row>
    <row r="981" spans="1:24" ht="15" x14ac:dyDescent="0.2">
      <c r="A981" s="739" t="s">
        <v>125</v>
      </c>
      <c r="B981" s="243" t="s">
        <v>180</v>
      </c>
      <c r="C981" s="353" t="s">
        <v>8</v>
      </c>
      <c r="D981" s="353" t="s">
        <v>614</v>
      </c>
      <c r="E981" s="369" t="s">
        <v>731</v>
      </c>
      <c r="F981" s="369" t="s">
        <v>123</v>
      </c>
      <c r="G981" s="288">
        <v>130.0898</v>
      </c>
      <c r="H981" s="288"/>
      <c r="I981" s="288">
        <v>45.773159999999997</v>
      </c>
      <c r="J981" s="288"/>
      <c r="K981" s="43">
        <f t="shared" si="320"/>
        <v>-84.316640000000007</v>
      </c>
      <c r="L981" s="43">
        <f t="shared" si="321"/>
        <v>0</v>
      </c>
      <c r="M981" s="217">
        <f t="shared" si="313"/>
        <v>0</v>
      </c>
      <c r="N981" s="167"/>
      <c r="R981" s="288">
        <v>0</v>
      </c>
      <c r="S981" s="288"/>
      <c r="T981" s="217">
        <f>I981-G981</f>
        <v>-84.316640000000007</v>
      </c>
      <c r="U981" s="288">
        <v>0</v>
      </c>
      <c r="V981" s="288">
        <v>0</v>
      </c>
      <c r="W981" s="203">
        <f t="shared" si="309"/>
        <v>84.316640000000007</v>
      </c>
      <c r="X981" s="203">
        <f t="shared" si="310"/>
        <v>0</v>
      </c>
    </row>
    <row r="982" spans="1:24" ht="15" x14ac:dyDescent="0.2">
      <c r="A982" s="739" t="s">
        <v>126</v>
      </c>
      <c r="B982" s="243" t="s">
        <v>180</v>
      </c>
      <c r="C982" s="353" t="s">
        <v>8</v>
      </c>
      <c r="D982" s="353" t="s">
        <v>614</v>
      </c>
      <c r="E982" s="369" t="s">
        <v>731</v>
      </c>
      <c r="F982" s="369" t="s">
        <v>124</v>
      </c>
      <c r="G982" s="288">
        <v>150</v>
      </c>
      <c r="H982" s="288"/>
      <c r="I982" s="288">
        <v>234.31664000000001</v>
      </c>
      <c r="J982" s="288"/>
      <c r="K982" s="43">
        <f t="shared" si="320"/>
        <v>84.316640000000007</v>
      </c>
      <c r="L982" s="43">
        <f t="shared" si="321"/>
        <v>0</v>
      </c>
      <c r="M982" s="217">
        <f t="shared" si="313"/>
        <v>0</v>
      </c>
      <c r="N982" s="167"/>
      <c r="R982" s="288">
        <v>120</v>
      </c>
      <c r="S982" s="288"/>
      <c r="T982" s="217">
        <f>I982-G982</f>
        <v>84.316640000000007</v>
      </c>
      <c r="U982" s="288">
        <v>3.9446400000000001</v>
      </c>
      <c r="V982" s="288">
        <v>0</v>
      </c>
      <c r="W982" s="203">
        <f t="shared" si="309"/>
        <v>-84.316640000000007</v>
      </c>
      <c r="X982" s="203">
        <f t="shared" si="310"/>
        <v>0</v>
      </c>
    </row>
    <row r="983" spans="1:24" ht="25.5" x14ac:dyDescent="0.2">
      <c r="A983" s="741" t="s">
        <v>1205</v>
      </c>
      <c r="B983" s="306" t="s">
        <v>180</v>
      </c>
      <c r="C983" s="354" t="s">
        <v>8</v>
      </c>
      <c r="D983" s="354" t="s">
        <v>614</v>
      </c>
      <c r="E983" s="377">
        <v>8900000000</v>
      </c>
      <c r="F983" s="450"/>
      <c r="G983" s="591">
        <f>G984</f>
        <v>43472.455000000002</v>
      </c>
      <c r="H983" s="591">
        <f>H984</f>
        <v>42389.7</v>
      </c>
      <c r="I983" s="591">
        <f>I984</f>
        <v>43472.455000000002</v>
      </c>
      <c r="J983" s="591">
        <f>J984</f>
        <v>42389.7</v>
      </c>
      <c r="K983" s="591">
        <f t="shared" si="320"/>
        <v>0</v>
      </c>
      <c r="L983" s="591">
        <f t="shared" si="321"/>
        <v>0</v>
      </c>
      <c r="M983" s="217">
        <f t="shared" si="313"/>
        <v>0</v>
      </c>
      <c r="N983" s="167"/>
      <c r="R983" s="591">
        <f t="shared" ref="R983:S988" si="322">R984</f>
        <v>127305.68</v>
      </c>
      <c r="S983" s="591">
        <f t="shared" si="322"/>
        <v>114767.8</v>
      </c>
      <c r="T983" s="217"/>
      <c r="U983" s="498">
        <f t="shared" ref="U983:V985" si="323">U984</f>
        <v>16001.6</v>
      </c>
      <c r="V983" s="498">
        <f t="shared" si="323"/>
        <v>15524.75232</v>
      </c>
      <c r="W983" s="203"/>
      <c r="X983" s="203"/>
    </row>
    <row r="984" spans="1:24" ht="15" x14ac:dyDescent="0.2">
      <c r="A984" s="741" t="s">
        <v>1284</v>
      </c>
      <c r="B984" s="306" t="s">
        <v>180</v>
      </c>
      <c r="C984" s="354" t="s">
        <v>8</v>
      </c>
      <c r="D984" s="354" t="s">
        <v>614</v>
      </c>
      <c r="E984" s="377">
        <v>8900500000</v>
      </c>
      <c r="F984" s="450"/>
      <c r="G984" s="591">
        <f>G985+G988</f>
        <v>43472.455000000002</v>
      </c>
      <c r="H984" s="591">
        <f>H985+H988</f>
        <v>42389.7</v>
      </c>
      <c r="I984" s="591">
        <f>I985+I988</f>
        <v>43472.455000000002</v>
      </c>
      <c r="J984" s="591">
        <f>J985+J988</f>
        <v>42389.7</v>
      </c>
      <c r="K984" s="591">
        <f t="shared" si="320"/>
        <v>0</v>
      </c>
      <c r="L984" s="591">
        <f t="shared" si="321"/>
        <v>0</v>
      </c>
      <c r="M984" s="217">
        <f t="shared" si="313"/>
        <v>0</v>
      </c>
      <c r="N984" s="167"/>
      <c r="R984" s="591">
        <f>R985+R988</f>
        <v>127305.68</v>
      </c>
      <c r="S984" s="591">
        <f>S985+S988</f>
        <v>114767.8</v>
      </c>
      <c r="T984" s="217"/>
      <c r="U984" s="498">
        <f t="shared" si="323"/>
        <v>16001.6</v>
      </c>
      <c r="V984" s="498">
        <f t="shared" si="323"/>
        <v>15524.75232</v>
      </c>
      <c r="W984" s="203"/>
      <c r="X984" s="203"/>
    </row>
    <row r="985" spans="1:24" ht="15" x14ac:dyDescent="0.2">
      <c r="A985" s="741" t="s">
        <v>1285</v>
      </c>
      <c r="B985" s="306" t="s">
        <v>180</v>
      </c>
      <c r="C985" s="354" t="s">
        <v>8</v>
      </c>
      <c r="D985" s="354" t="s">
        <v>614</v>
      </c>
      <c r="E985" s="377" t="s">
        <v>1286</v>
      </c>
      <c r="F985" s="450"/>
      <c r="G985" s="591">
        <f>G986+G987</f>
        <v>43472.455000000002</v>
      </c>
      <c r="H985" s="591">
        <f>H986+H987</f>
        <v>42389.7</v>
      </c>
      <c r="I985" s="591">
        <f>I986+I987</f>
        <v>43472.455000000002</v>
      </c>
      <c r="J985" s="591">
        <f>J986+J987</f>
        <v>42389.7</v>
      </c>
      <c r="K985" s="591">
        <f t="shared" si="320"/>
        <v>0</v>
      </c>
      <c r="L985" s="591">
        <f t="shared" si="321"/>
        <v>0</v>
      </c>
      <c r="M985" s="217">
        <f t="shared" si="313"/>
        <v>0</v>
      </c>
      <c r="N985" s="167"/>
      <c r="R985" s="591">
        <f t="shared" si="322"/>
        <v>119500</v>
      </c>
      <c r="S985" s="591">
        <f t="shared" si="322"/>
        <v>114767.8</v>
      </c>
      <c r="T985" s="217"/>
      <c r="U985" s="498">
        <f t="shared" si="323"/>
        <v>16001.6</v>
      </c>
      <c r="V985" s="498">
        <f t="shared" si="323"/>
        <v>15524.75232</v>
      </c>
      <c r="W985" s="203"/>
      <c r="X985" s="203"/>
    </row>
    <row r="986" spans="1:24" ht="27" hidden="1" customHeight="1" x14ac:dyDescent="0.2">
      <c r="A986" s="186" t="s">
        <v>1199</v>
      </c>
      <c r="B986" s="243" t="s">
        <v>180</v>
      </c>
      <c r="C986" s="353" t="s">
        <v>8</v>
      </c>
      <c r="D986" s="353" t="s">
        <v>614</v>
      </c>
      <c r="E986" s="378" t="s">
        <v>1286</v>
      </c>
      <c r="F986" s="369">
        <v>465</v>
      </c>
      <c r="G986" s="288"/>
      <c r="H986" s="266"/>
      <c r="I986" s="288"/>
      <c r="J986" s="266"/>
      <c r="K986" s="43">
        <f t="shared" si="320"/>
        <v>0</v>
      </c>
      <c r="L986" s="43">
        <f t="shared" si="321"/>
        <v>0</v>
      </c>
      <c r="M986" s="217">
        <f t="shared" si="313"/>
        <v>0</v>
      </c>
      <c r="N986" s="167"/>
      <c r="P986" s="446">
        <f>I986-206.9995</f>
        <v>-206.99950000000001</v>
      </c>
      <c r="Q986" s="446"/>
      <c r="R986" s="288">
        <v>119500</v>
      </c>
      <c r="S986" s="266">
        <v>114767.8</v>
      </c>
      <c r="T986" s="217"/>
      <c r="U986" s="288">
        <v>16001.6</v>
      </c>
      <c r="V986" s="266">
        <v>15524.75232</v>
      </c>
      <c r="W986" s="203"/>
      <c r="X986" s="203"/>
    </row>
    <row r="987" spans="1:24" ht="15" x14ac:dyDescent="0.2">
      <c r="A987" s="739" t="s">
        <v>126</v>
      </c>
      <c r="B987" s="243" t="s">
        <v>180</v>
      </c>
      <c r="C987" s="353" t="s">
        <v>8</v>
      </c>
      <c r="D987" s="353" t="s">
        <v>614</v>
      </c>
      <c r="E987" s="378" t="s">
        <v>1286</v>
      </c>
      <c r="F987" s="369">
        <v>622</v>
      </c>
      <c r="G987" s="288">
        <v>43472.455000000002</v>
      </c>
      <c r="H987" s="266">
        <v>42389.7</v>
      </c>
      <c r="I987" s="288">
        <v>43472.455000000002</v>
      </c>
      <c r="J987" s="266">
        <v>42389.7</v>
      </c>
      <c r="K987" s="43">
        <f t="shared" si="320"/>
        <v>0</v>
      </c>
      <c r="L987" s="43">
        <f t="shared" si="321"/>
        <v>0</v>
      </c>
      <c r="M987" s="217"/>
      <c r="N987" s="167"/>
      <c r="P987" s="446"/>
      <c r="Q987" s="446"/>
      <c r="R987" s="288"/>
      <c r="S987" s="266"/>
      <c r="T987" s="217"/>
      <c r="U987" s="288"/>
      <c r="V987" s="266"/>
      <c r="W987" s="203"/>
      <c r="X987" s="203"/>
    </row>
    <row r="988" spans="1:24" ht="15" hidden="1" x14ac:dyDescent="0.2">
      <c r="A988" s="121" t="s">
        <v>1544</v>
      </c>
      <c r="B988" s="306" t="s">
        <v>180</v>
      </c>
      <c r="C988" s="354" t="s">
        <v>8</v>
      </c>
      <c r="D988" s="354" t="s">
        <v>614</v>
      </c>
      <c r="E988" s="377" t="s">
        <v>1455</v>
      </c>
      <c r="F988" s="582"/>
      <c r="G988" s="591">
        <f>G989</f>
        <v>0</v>
      </c>
      <c r="H988" s="591">
        <f>H989</f>
        <v>0</v>
      </c>
      <c r="I988" s="591">
        <f>I989</f>
        <v>0</v>
      </c>
      <c r="J988" s="591">
        <f>J989</f>
        <v>0</v>
      </c>
      <c r="K988" s="591">
        <f t="shared" si="320"/>
        <v>0</v>
      </c>
      <c r="L988" s="591">
        <f t="shared" si="321"/>
        <v>0</v>
      </c>
      <c r="M988" s="217"/>
      <c r="N988" s="167"/>
      <c r="P988" s="446"/>
      <c r="Q988" s="446"/>
      <c r="R988" s="591">
        <f t="shared" si="322"/>
        <v>7805.68</v>
      </c>
      <c r="S988" s="591">
        <f t="shared" si="322"/>
        <v>0</v>
      </c>
      <c r="T988" s="217"/>
      <c r="U988" s="288"/>
      <c r="V988" s="266"/>
      <c r="W988" s="203"/>
      <c r="X988" s="203"/>
    </row>
    <row r="989" spans="1:24" ht="25.5" hidden="1" x14ac:dyDescent="0.2">
      <c r="A989" s="124" t="s">
        <v>1545</v>
      </c>
      <c r="B989" s="243" t="s">
        <v>180</v>
      </c>
      <c r="C989" s="353" t="s">
        <v>8</v>
      </c>
      <c r="D989" s="353" t="s">
        <v>614</v>
      </c>
      <c r="E989" s="378" t="s">
        <v>1455</v>
      </c>
      <c r="F989" s="369">
        <v>465</v>
      </c>
      <c r="G989" s="288"/>
      <c r="H989" s="266"/>
      <c r="I989" s="288"/>
      <c r="J989" s="266"/>
      <c r="K989" s="43">
        <f t="shared" si="320"/>
        <v>0</v>
      </c>
      <c r="L989" s="43">
        <f t="shared" si="321"/>
        <v>0</v>
      </c>
      <c r="M989" s="217"/>
      <c r="N989" s="167"/>
      <c r="P989" s="446"/>
      <c r="Q989" s="446"/>
      <c r="R989" s="288">
        <v>7805.68</v>
      </c>
      <c r="S989" s="266"/>
      <c r="T989" s="217"/>
      <c r="U989" s="288"/>
      <c r="V989" s="266"/>
      <c r="W989" s="203"/>
      <c r="X989" s="203"/>
    </row>
    <row r="990" spans="1:24" s="307" customFormat="1" ht="15" x14ac:dyDescent="0.2">
      <c r="A990" s="746" t="s">
        <v>65</v>
      </c>
      <c r="B990" s="306" t="s">
        <v>180</v>
      </c>
      <c r="C990" s="354" t="s">
        <v>8</v>
      </c>
      <c r="D990" s="354" t="s">
        <v>614</v>
      </c>
      <c r="E990" s="450" t="s">
        <v>312</v>
      </c>
      <c r="F990" s="450"/>
      <c r="G990" s="591">
        <f t="shared" ref="G990:L990" si="324">G1012+G996+G998+G1001+G1004+G1007+G1010+G993+G991</f>
        <v>2985.933</v>
      </c>
      <c r="H990" s="591">
        <f t="shared" si="324"/>
        <v>0</v>
      </c>
      <c r="I990" s="591">
        <f t="shared" si="324"/>
        <v>5264.3201999999992</v>
      </c>
      <c r="J990" s="591">
        <f t="shared" si="324"/>
        <v>0</v>
      </c>
      <c r="K990" s="591">
        <f t="shared" si="324"/>
        <v>2278.3871999999992</v>
      </c>
      <c r="L990" s="591">
        <f t="shared" si="324"/>
        <v>0</v>
      </c>
      <c r="M990" s="217">
        <f t="shared" si="313"/>
        <v>0</v>
      </c>
      <c r="N990" s="292" t="e">
        <f>N1012+#REF!</f>
        <v>#REF!</v>
      </c>
      <c r="R990" s="591" t="e">
        <f>R1012+#REF!+R996+#REF!+#REF!+#REF!+R998+R1001+R1004+R1007+#REF!+R1010+#REF!+#REF!+R993+R991</f>
        <v>#REF!</v>
      </c>
      <c r="S990" s="591" t="e">
        <f>S1012+#REF!+S996+#REF!+#REF!+#REF!+S998+S1001+S1004+S1007+#REF!+S1010+#REF!+#REF!+S993+S991</f>
        <v>#REF!</v>
      </c>
      <c r="T990" s="309">
        <f>I990-G990</f>
        <v>2278.3871999999992</v>
      </c>
      <c r="U990" s="498" t="e">
        <f>U1012+#REF!+U996+#REF!+#REF!+#REF!+U998+U1001+U1004+U1007+#REF!+U1010+#REF!+#REF!+U993+U991</f>
        <v>#REF!</v>
      </c>
      <c r="V990" s="498" t="e">
        <f>V1012+#REF!+V996+#REF!+#REF!+#REF!+V998+V1001+V1004+V1007+#REF!+V1010+#REF!+#REF!+V993+V991</f>
        <v>#REF!</v>
      </c>
      <c r="W990" s="310">
        <f t="shared" si="309"/>
        <v>-2278.3871999999992</v>
      </c>
      <c r="X990" s="310">
        <f t="shared" si="310"/>
        <v>0</v>
      </c>
    </row>
    <row r="991" spans="1:24" s="307" customFormat="1" ht="13.5" customHeight="1" x14ac:dyDescent="0.2">
      <c r="A991" s="746" t="s">
        <v>1941</v>
      </c>
      <c r="B991" s="306" t="s">
        <v>180</v>
      </c>
      <c r="C991" s="354" t="s">
        <v>8</v>
      </c>
      <c r="D991" s="354" t="s">
        <v>614</v>
      </c>
      <c r="E991" s="514">
        <v>9990012210</v>
      </c>
      <c r="F991" s="514"/>
      <c r="G991" s="591">
        <f>G992</f>
        <v>100</v>
      </c>
      <c r="H991" s="591">
        <f>H992</f>
        <v>0</v>
      </c>
      <c r="I991" s="591">
        <f>I992</f>
        <v>100</v>
      </c>
      <c r="J991" s="591">
        <f>J992</f>
        <v>0</v>
      </c>
      <c r="K991" s="591">
        <f t="shared" si="320"/>
        <v>0</v>
      </c>
      <c r="L991" s="591">
        <f t="shared" si="321"/>
        <v>0</v>
      </c>
      <c r="M991" s="217"/>
      <c r="N991" s="292"/>
      <c r="R991" s="591">
        <f>R992</f>
        <v>80</v>
      </c>
      <c r="S991" s="591">
        <f>S992</f>
        <v>0</v>
      </c>
      <c r="T991" s="309"/>
      <c r="U991" s="498">
        <f>U992</f>
        <v>50</v>
      </c>
      <c r="V991" s="498">
        <f>V992</f>
        <v>0</v>
      </c>
      <c r="W991" s="310"/>
      <c r="X991" s="310"/>
    </row>
    <row r="992" spans="1:24" s="307" customFormat="1" ht="13.5" customHeight="1" x14ac:dyDescent="0.2">
      <c r="A992" s="751" t="s">
        <v>126</v>
      </c>
      <c r="B992" s="516" t="s">
        <v>180</v>
      </c>
      <c r="C992" s="517" t="s">
        <v>8</v>
      </c>
      <c r="D992" s="517" t="s">
        <v>614</v>
      </c>
      <c r="E992" s="518">
        <v>9990012210</v>
      </c>
      <c r="F992" s="518">
        <v>622</v>
      </c>
      <c r="G992" s="519">
        <v>100</v>
      </c>
      <c r="H992" s="519"/>
      <c r="I992" s="519">
        <v>100</v>
      </c>
      <c r="J992" s="519"/>
      <c r="K992" s="43">
        <f t="shared" si="320"/>
        <v>0</v>
      </c>
      <c r="L992" s="43">
        <f t="shared" si="321"/>
        <v>0</v>
      </c>
      <c r="M992" s="217"/>
      <c r="N992" s="292"/>
      <c r="R992" s="519">
        <v>80</v>
      </c>
      <c r="S992" s="519"/>
      <c r="T992" s="309"/>
      <c r="U992" s="519">
        <v>50</v>
      </c>
      <c r="V992" s="519"/>
      <c r="W992" s="310"/>
      <c r="X992" s="310"/>
    </row>
    <row r="993" spans="1:24" s="307" customFormat="1" ht="15.75" customHeight="1" x14ac:dyDescent="0.2">
      <c r="A993" s="746" t="s">
        <v>2016</v>
      </c>
      <c r="B993" s="306" t="s">
        <v>180</v>
      </c>
      <c r="C993" s="354" t="s">
        <v>8</v>
      </c>
      <c r="D993" s="354" t="s">
        <v>614</v>
      </c>
      <c r="E993" s="495">
        <v>9990012290</v>
      </c>
      <c r="F993" s="495"/>
      <c r="G993" s="591">
        <f>G994+G995</f>
        <v>0</v>
      </c>
      <c r="H993" s="591">
        <f t="shared" ref="H993:L993" si="325">H994+H995</f>
        <v>0</v>
      </c>
      <c r="I993" s="591">
        <f t="shared" si="325"/>
        <v>100</v>
      </c>
      <c r="J993" s="591">
        <f t="shared" si="325"/>
        <v>0</v>
      </c>
      <c r="K993" s="591">
        <f t="shared" si="325"/>
        <v>100</v>
      </c>
      <c r="L993" s="591">
        <f t="shared" si="325"/>
        <v>0</v>
      </c>
      <c r="M993" s="217"/>
      <c r="N993" s="292"/>
      <c r="R993" s="591">
        <f>R994</f>
        <v>0</v>
      </c>
      <c r="S993" s="591">
        <f>S994</f>
        <v>0</v>
      </c>
      <c r="T993" s="309"/>
      <c r="U993" s="498">
        <f>U994</f>
        <v>47.3</v>
      </c>
      <c r="V993" s="498">
        <f>V994</f>
        <v>0</v>
      </c>
      <c r="W993" s="310"/>
      <c r="X993" s="310"/>
    </row>
    <row r="994" spans="1:24" ht="15.75" customHeight="1" x14ac:dyDescent="0.2">
      <c r="A994" s="739" t="s">
        <v>1542</v>
      </c>
      <c r="B994" s="243" t="s">
        <v>180</v>
      </c>
      <c r="C994" s="353" t="s">
        <v>8</v>
      </c>
      <c r="D994" s="353" t="s">
        <v>614</v>
      </c>
      <c r="E994" s="369">
        <v>9990012290</v>
      </c>
      <c r="F994" s="369">
        <v>612</v>
      </c>
      <c r="G994" s="288"/>
      <c r="H994" s="288">
        <v>0</v>
      </c>
      <c r="I994" s="288">
        <v>10</v>
      </c>
      <c r="J994" s="288">
        <v>0</v>
      </c>
      <c r="K994" s="43">
        <f t="shared" si="320"/>
        <v>10</v>
      </c>
      <c r="L994" s="43">
        <f t="shared" si="321"/>
        <v>0</v>
      </c>
      <c r="M994" s="217">
        <f>I994-G994-K994</f>
        <v>0</v>
      </c>
      <c r="N994" s="43"/>
      <c r="R994" s="288"/>
      <c r="S994" s="288">
        <v>0</v>
      </c>
      <c r="T994" s="217"/>
      <c r="U994" s="288">
        <v>47.3</v>
      </c>
      <c r="V994" s="288"/>
      <c r="W994" s="203">
        <f>G994-I994</f>
        <v>-10</v>
      </c>
      <c r="X994" s="203">
        <f>K994+W994</f>
        <v>0</v>
      </c>
    </row>
    <row r="995" spans="1:24" ht="15.75" customHeight="1" x14ac:dyDescent="0.2">
      <c r="A995" s="739" t="s">
        <v>1553</v>
      </c>
      <c r="B995" s="243" t="s">
        <v>180</v>
      </c>
      <c r="C995" s="353" t="s">
        <v>8</v>
      </c>
      <c r="D995" s="353" t="s">
        <v>614</v>
      </c>
      <c r="E995" s="369">
        <v>9990012290</v>
      </c>
      <c r="F995" s="369">
        <v>622</v>
      </c>
      <c r="G995" s="288"/>
      <c r="H995" s="288"/>
      <c r="I995" s="288">
        <v>90</v>
      </c>
      <c r="J995" s="288"/>
      <c r="K995" s="43">
        <f t="shared" ref="K995" si="326">I995-G995</f>
        <v>90</v>
      </c>
      <c r="L995" s="43">
        <f t="shared" ref="L995" si="327">J995-H995</f>
        <v>0</v>
      </c>
      <c r="M995" s="217"/>
      <c r="N995" s="43"/>
      <c r="R995" s="288"/>
      <c r="S995" s="288"/>
      <c r="T995" s="217"/>
      <c r="U995" s="288"/>
      <c r="V995" s="288"/>
      <c r="W995" s="203"/>
      <c r="X995" s="203"/>
    </row>
    <row r="996" spans="1:24" s="307" customFormat="1" ht="27.75" hidden="1" customHeight="1" x14ac:dyDescent="0.2">
      <c r="A996" s="451" t="s">
        <v>710</v>
      </c>
      <c r="B996" s="306" t="s">
        <v>180</v>
      </c>
      <c r="C996" s="354" t="s">
        <v>8</v>
      </c>
      <c r="D996" s="354" t="s">
        <v>614</v>
      </c>
      <c r="E996" s="450" t="s">
        <v>844</v>
      </c>
      <c r="F996" s="450"/>
      <c r="G996" s="498">
        <f>G997</f>
        <v>0</v>
      </c>
      <c r="H996" s="498">
        <f>H997</f>
        <v>0</v>
      </c>
      <c r="I996" s="591">
        <f>I997</f>
        <v>0</v>
      </c>
      <c r="J996" s="591">
        <f>J997</f>
        <v>0</v>
      </c>
      <c r="K996" s="591">
        <f t="shared" si="320"/>
        <v>0</v>
      </c>
      <c r="L996" s="591">
        <f t="shared" si="321"/>
        <v>0</v>
      </c>
      <c r="M996" s="217">
        <f t="shared" si="313"/>
        <v>0</v>
      </c>
      <c r="N996" s="292"/>
      <c r="R996" s="591">
        <f>R997</f>
        <v>0</v>
      </c>
      <c r="S996" s="591">
        <f>S997</f>
        <v>0</v>
      </c>
      <c r="T996" s="309">
        <f>I996-G996</f>
        <v>0</v>
      </c>
      <c r="U996" s="498">
        <f>U997</f>
        <v>0</v>
      </c>
      <c r="V996" s="498">
        <f>V997</f>
        <v>0</v>
      </c>
      <c r="W996" s="310">
        <f t="shared" si="309"/>
        <v>0</v>
      </c>
      <c r="X996" s="310">
        <f t="shared" si="310"/>
        <v>0</v>
      </c>
    </row>
    <row r="997" spans="1:24" ht="13.5" hidden="1" customHeight="1" x14ac:dyDescent="0.2">
      <c r="A997" s="124" t="s">
        <v>126</v>
      </c>
      <c r="B997" s="243" t="s">
        <v>180</v>
      </c>
      <c r="C997" s="353" t="s">
        <v>8</v>
      </c>
      <c r="D997" s="353" t="s">
        <v>614</v>
      </c>
      <c r="E997" s="369" t="s">
        <v>844</v>
      </c>
      <c r="F997" s="369" t="s">
        <v>124</v>
      </c>
      <c r="G997" s="288"/>
      <c r="H997" s="288"/>
      <c r="I997" s="288"/>
      <c r="J997" s="288"/>
      <c r="K997" s="43">
        <f t="shared" si="320"/>
        <v>0</v>
      </c>
      <c r="L997" s="43">
        <f t="shared" si="321"/>
        <v>0</v>
      </c>
      <c r="M997" s="217">
        <f t="shared" si="313"/>
        <v>0</v>
      </c>
      <c r="N997" s="42"/>
      <c r="R997" s="288"/>
      <c r="S997" s="288"/>
      <c r="T997" s="217">
        <f>I997-G997</f>
        <v>0</v>
      </c>
      <c r="U997" s="288"/>
      <c r="V997" s="288"/>
      <c r="W997" s="203">
        <f t="shared" si="309"/>
        <v>0</v>
      </c>
      <c r="X997" s="203">
        <f t="shared" si="310"/>
        <v>0</v>
      </c>
    </row>
    <row r="998" spans="1:24" s="307" customFormat="1" ht="15" hidden="1" x14ac:dyDescent="0.2">
      <c r="A998" s="451" t="s">
        <v>1230</v>
      </c>
      <c r="B998" s="306" t="s">
        <v>180</v>
      </c>
      <c r="C998" s="354" t="s">
        <v>8</v>
      </c>
      <c r="D998" s="354" t="s">
        <v>614</v>
      </c>
      <c r="E998" s="450">
        <v>9990074410</v>
      </c>
      <c r="F998" s="450"/>
      <c r="G998" s="498">
        <f>G999+G1000</f>
        <v>0</v>
      </c>
      <c r="H998" s="498">
        <f>H999+H1000</f>
        <v>0</v>
      </c>
      <c r="I998" s="591">
        <f>I999+I1000</f>
        <v>0</v>
      </c>
      <c r="J998" s="591">
        <f>J999+J1000</f>
        <v>0</v>
      </c>
      <c r="K998" s="591">
        <f t="shared" si="320"/>
        <v>0</v>
      </c>
      <c r="L998" s="591">
        <f t="shared" si="321"/>
        <v>0</v>
      </c>
      <c r="M998" s="217">
        <f t="shared" si="313"/>
        <v>0</v>
      </c>
      <c r="N998" s="292"/>
      <c r="R998" s="591">
        <f>R999+R1000</f>
        <v>0</v>
      </c>
      <c r="S998" s="591">
        <f>S999+S1000</f>
        <v>0</v>
      </c>
      <c r="T998" s="309"/>
      <c r="U998" s="498">
        <f>U999+U1000</f>
        <v>0</v>
      </c>
      <c r="V998" s="498">
        <f>V999+V1000</f>
        <v>0</v>
      </c>
      <c r="W998" s="310">
        <f t="shared" si="309"/>
        <v>0</v>
      </c>
      <c r="X998" s="310">
        <f t="shared" si="310"/>
        <v>0</v>
      </c>
    </row>
    <row r="999" spans="1:24" ht="15" hidden="1" x14ac:dyDescent="0.2">
      <c r="A999" s="124" t="s">
        <v>125</v>
      </c>
      <c r="B999" s="243" t="s">
        <v>180</v>
      </c>
      <c r="C999" s="353" t="s">
        <v>8</v>
      </c>
      <c r="D999" s="353" t="s">
        <v>614</v>
      </c>
      <c r="E999" s="369">
        <v>9990074410</v>
      </c>
      <c r="F999" s="369" t="s">
        <v>123</v>
      </c>
      <c r="G999" s="288"/>
      <c r="H999" s="288"/>
      <c r="I999" s="288"/>
      <c r="J999" s="288"/>
      <c r="K999" s="43">
        <f t="shared" si="320"/>
        <v>0</v>
      </c>
      <c r="L999" s="43">
        <f t="shared" si="321"/>
        <v>0</v>
      </c>
      <c r="M999" s="217">
        <f t="shared" si="313"/>
        <v>0</v>
      </c>
      <c r="N999" s="43"/>
      <c r="R999" s="288"/>
      <c r="S999" s="288"/>
      <c r="T999" s="217"/>
      <c r="U999" s="288"/>
      <c r="V999" s="288"/>
      <c r="W999" s="203">
        <f t="shared" si="309"/>
        <v>0</v>
      </c>
      <c r="X999" s="203">
        <f t="shared" si="310"/>
        <v>0</v>
      </c>
    </row>
    <row r="1000" spans="1:24" ht="15" hidden="1" x14ac:dyDescent="0.2">
      <c r="A1000" s="124" t="s">
        <v>126</v>
      </c>
      <c r="B1000" s="243" t="s">
        <v>180</v>
      </c>
      <c r="C1000" s="353" t="s">
        <v>8</v>
      </c>
      <c r="D1000" s="353" t="s">
        <v>614</v>
      </c>
      <c r="E1000" s="369">
        <v>9990074410</v>
      </c>
      <c r="F1000" s="369" t="s">
        <v>124</v>
      </c>
      <c r="G1000" s="288"/>
      <c r="H1000" s="288"/>
      <c r="I1000" s="288"/>
      <c r="J1000" s="288"/>
      <c r="K1000" s="43">
        <f t="shared" si="320"/>
        <v>0</v>
      </c>
      <c r="L1000" s="43">
        <f t="shared" si="321"/>
        <v>0</v>
      </c>
      <c r="M1000" s="217">
        <f t="shared" si="313"/>
        <v>0</v>
      </c>
      <c r="N1000" s="43"/>
      <c r="R1000" s="288"/>
      <c r="S1000" s="288"/>
      <c r="T1000" s="217"/>
      <c r="U1000" s="288"/>
      <c r="V1000" s="288"/>
      <c r="W1000" s="203">
        <f t="shared" si="309"/>
        <v>0</v>
      </c>
      <c r="X1000" s="203">
        <f t="shared" si="310"/>
        <v>0</v>
      </c>
    </row>
    <row r="1001" spans="1:24" s="307" customFormat="1" ht="25.5" hidden="1" x14ac:dyDescent="0.2">
      <c r="A1001" s="451" t="s">
        <v>1232</v>
      </c>
      <c r="B1001" s="306" t="s">
        <v>180</v>
      </c>
      <c r="C1001" s="354" t="s">
        <v>8</v>
      </c>
      <c r="D1001" s="354" t="s">
        <v>614</v>
      </c>
      <c r="E1001" s="450">
        <v>9990074440</v>
      </c>
      <c r="F1001" s="450"/>
      <c r="G1001" s="498">
        <f>G1002+G1003</f>
        <v>0</v>
      </c>
      <c r="H1001" s="498">
        <f>H1002+H1003</f>
        <v>0</v>
      </c>
      <c r="I1001" s="591">
        <f>I1002+I1003</f>
        <v>0</v>
      </c>
      <c r="J1001" s="591">
        <f>J1002+J1003</f>
        <v>0</v>
      </c>
      <c r="K1001" s="591">
        <f t="shared" si="320"/>
        <v>0</v>
      </c>
      <c r="L1001" s="591">
        <f t="shared" si="321"/>
        <v>0</v>
      </c>
      <c r="M1001" s="217">
        <f t="shared" si="313"/>
        <v>0</v>
      </c>
      <c r="N1001" s="292"/>
      <c r="R1001" s="591">
        <f>R1002+R1003</f>
        <v>0</v>
      </c>
      <c r="S1001" s="591">
        <f>S1002+S1003</f>
        <v>0</v>
      </c>
      <c r="T1001" s="309"/>
      <c r="U1001" s="498">
        <f>U1002+U1003</f>
        <v>0</v>
      </c>
      <c r="V1001" s="498">
        <f>V1002+V1003</f>
        <v>0</v>
      </c>
      <c r="W1001" s="310">
        <f t="shared" si="309"/>
        <v>0</v>
      </c>
      <c r="X1001" s="310">
        <f t="shared" si="310"/>
        <v>0</v>
      </c>
    </row>
    <row r="1002" spans="1:24" ht="15" hidden="1" x14ac:dyDescent="0.2">
      <c r="A1002" s="124" t="s">
        <v>125</v>
      </c>
      <c r="B1002" s="243" t="s">
        <v>180</v>
      </c>
      <c r="C1002" s="353" t="s">
        <v>8</v>
      </c>
      <c r="D1002" s="353" t="s">
        <v>614</v>
      </c>
      <c r="E1002" s="369">
        <v>9990074440</v>
      </c>
      <c r="F1002" s="369" t="s">
        <v>123</v>
      </c>
      <c r="G1002" s="288"/>
      <c r="H1002" s="288"/>
      <c r="I1002" s="288"/>
      <c r="J1002" s="288"/>
      <c r="K1002" s="43">
        <f t="shared" si="320"/>
        <v>0</v>
      </c>
      <c r="L1002" s="43">
        <f t="shared" si="321"/>
        <v>0</v>
      </c>
      <c r="M1002" s="217">
        <f t="shared" si="313"/>
        <v>0</v>
      </c>
      <c r="N1002" s="43"/>
      <c r="R1002" s="288"/>
      <c r="S1002" s="288"/>
      <c r="T1002" s="217"/>
      <c r="U1002" s="288"/>
      <c r="V1002" s="288"/>
      <c r="W1002" s="203">
        <f t="shared" si="309"/>
        <v>0</v>
      </c>
      <c r="X1002" s="203">
        <f t="shared" si="310"/>
        <v>0</v>
      </c>
    </row>
    <row r="1003" spans="1:24" ht="15" hidden="1" x14ac:dyDescent="0.2">
      <c r="A1003" s="124" t="s">
        <v>126</v>
      </c>
      <c r="B1003" s="243" t="s">
        <v>180</v>
      </c>
      <c r="C1003" s="353" t="s">
        <v>8</v>
      </c>
      <c r="D1003" s="353" t="s">
        <v>614</v>
      </c>
      <c r="E1003" s="369">
        <v>9990074440</v>
      </c>
      <c r="F1003" s="369" t="s">
        <v>124</v>
      </c>
      <c r="G1003" s="288"/>
      <c r="H1003" s="288"/>
      <c r="I1003" s="288"/>
      <c r="J1003" s="288"/>
      <c r="K1003" s="43">
        <f t="shared" si="320"/>
        <v>0</v>
      </c>
      <c r="L1003" s="43">
        <f t="shared" si="321"/>
        <v>0</v>
      </c>
      <c r="M1003" s="217">
        <f t="shared" ref="M1003:M1063" si="328">I1003-G1003-K1003</f>
        <v>0</v>
      </c>
      <c r="N1003" s="43"/>
      <c r="R1003" s="288"/>
      <c r="S1003" s="288"/>
      <c r="T1003" s="217"/>
      <c r="U1003" s="288"/>
      <c r="V1003" s="288"/>
      <c r="W1003" s="203">
        <f t="shared" si="309"/>
        <v>0</v>
      </c>
      <c r="X1003" s="203">
        <f t="shared" si="310"/>
        <v>0</v>
      </c>
    </row>
    <row r="1004" spans="1:24" s="307" customFormat="1" ht="25.5" hidden="1" x14ac:dyDescent="0.2">
      <c r="A1004" s="451" t="s">
        <v>1011</v>
      </c>
      <c r="B1004" s="306" t="s">
        <v>180</v>
      </c>
      <c r="C1004" s="354" t="s">
        <v>8</v>
      </c>
      <c r="D1004" s="354" t="s">
        <v>614</v>
      </c>
      <c r="E1004" s="450" t="s">
        <v>1013</v>
      </c>
      <c r="F1004" s="450"/>
      <c r="G1004" s="498">
        <f>G1005+G1006</f>
        <v>0</v>
      </c>
      <c r="H1004" s="498">
        <f>H1005+H1006</f>
        <v>0</v>
      </c>
      <c r="I1004" s="591">
        <f>I1005+I1006</f>
        <v>0</v>
      </c>
      <c r="J1004" s="591">
        <f>J1005+J1006</f>
        <v>0</v>
      </c>
      <c r="K1004" s="591">
        <f t="shared" si="320"/>
        <v>0</v>
      </c>
      <c r="L1004" s="591">
        <f t="shared" si="321"/>
        <v>0</v>
      </c>
      <c r="M1004" s="217">
        <f t="shared" si="328"/>
        <v>0</v>
      </c>
      <c r="N1004" s="292"/>
      <c r="R1004" s="591">
        <f>R1005+R1006</f>
        <v>0</v>
      </c>
      <c r="S1004" s="591">
        <f>S1005+S1006</f>
        <v>0</v>
      </c>
      <c r="T1004" s="309"/>
      <c r="U1004" s="498">
        <f>U1005+U1006</f>
        <v>0</v>
      </c>
      <c r="V1004" s="498">
        <f>V1005+V1006</f>
        <v>0</v>
      </c>
      <c r="W1004" s="310">
        <f t="shared" si="309"/>
        <v>0</v>
      </c>
      <c r="X1004" s="310">
        <f t="shared" si="310"/>
        <v>0</v>
      </c>
    </row>
    <row r="1005" spans="1:24" ht="15" hidden="1" x14ac:dyDescent="0.2">
      <c r="A1005" s="124" t="s">
        <v>125</v>
      </c>
      <c r="B1005" s="243" t="s">
        <v>180</v>
      </c>
      <c r="C1005" s="353" t="s">
        <v>8</v>
      </c>
      <c r="D1005" s="353" t="s">
        <v>614</v>
      </c>
      <c r="E1005" s="369" t="s">
        <v>1013</v>
      </c>
      <c r="F1005" s="369" t="s">
        <v>123</v>
      </c>
      <c r="G1005" s="288">
        <v>0</v>
      </c>
      <c r="H1005" s="288"/>
      <c r="I1005" s="288">
        <v>0</v>
      </c>
      <c r="J1005" s="288"/>
      <c r="K1005" s="43">
        <f t="shared" si="320"/>
        <v>0</v>
      </c>
      <c r="L1005" s="43">
        <f t="shared" si="321"/>
        <v>0</v>
      </c>
      <c r="M1005" s="217">
        <f t="shared" si="328"/>
        <v>0</v>
      </c>
      <c r="N1005" s="43"/>
      <c r="R1005" s="288">
        <v>0</v>
      </c>
      <c r="S1005" s="288"/>
      <c r="T1005" s="217"/>
      <c r="U1005" s="288">
        <v>0</v>
      </c>
      <c r="V1005" s="288"/>
      <c r="W1005" s="203">
        <f t="shared" si="309"/>
        <v>0</v>
      </c>
      <c r="X1005" s="203">
        <f t="shared" si="310"/>
        <v>0</v>
      </c>
    </row>
    <row r="1006" spans="1:24" ht="15" hidden="1" x14ac:dyDescent="0.2">
      <c r="A1006" s="124" t="s">
        <v>126</v>
      </c>
      <c r="B1006" s="243" t="s">
        <v>180</v>
      </c>
      <c r="C1006" s="353" t="s">
        <v>8</v>
      </c>
      <c r="D1006" s="353" t="s">
        <v>614</v>
      </c>
      <c r="E1006" s="369" t="s">
        <v>1013</v>
      </c>
      <c r="F1006" s="369" t="s">
        <v>124</v>
      </c>
      <c r="G1006" s="288"/>
      <c r="H1006" s="288"/>
      <c r="I1006" s="288"/>
      <c r="J1006" s="288"/>
      <c r="K1006" s="43">
        <f t="shared" si="320"/>
        <v>0</v>
      </c>
      <c r="L1006" s="43">
        <f t="shared" si="321"/>
        <v>0</v>
      </c>
      <c r="M1006" s="217">
        <f t="shared" si="328"/>
        <v>0</v>
      </c>
      <c r="N1006" s="43"/>
      <c r="R1006" s="288"/>
      <c r="S1006" s="288"/>
      <c r="T1006" s="217"/>
      <c r="U1006" s="288"/>
      <c r="V1006" s="288"/>
      <c r="W1006" s="203">
        <f t="shared" si="309"/>
        <v>0</v>
      </c>
      <c r="X1006" s="203">
        <f t="shared" si="310"/>
        <v>0</v>
      </c>
    </row>
    <row r="1007" spans="1:24" s="307" customFormat="1" ht="15" hidden="1" x14ac:dyDescent="0.2">
      <c r="A1007" s="451" t="s">
        <v>1012</v>
      </c>
      <c r="B1007" s="306" t="s">
        <v>180</v>
      </c>
      <c r="C1007" s="354" t="s">
        <v>8</v>
      </c>
      <c r="D1007" s="354" t="s">
        <v>614</v>
      </c>
      <c r="E1007" s="450" t="s">
        <v>1014</v>
      </c>
      <c r="F1007" s="450"/>
      <c r="G1007" s="498">
        <f>G1008+G1009</f>
        <v>0</v>
      </c>
      <c r="H1007" s="498">
        <f>H1008+H1009</f>
        <v>0</v>
      </c>
      <c r="I1007" s="591">
        <f>I1008+I1009</f>
        <v>0</v>
      </c>
      <c r="J1007" s="591">
        <f>J1008+J1009</f>
        <v>0</v>
      </c>
      <c r="K1007" s="591">
        <f t="shared" si="320"/>
        <v>0</v>
      </c>
      <c r="L1007" s="591">
        <f t="shared" si="321"/>
        <v>0</v>
      </c>
      <c r="M1007" s="217">
        <f t="shared" si="328"/>
        <v>0</v>
      </c>
      <c r="N1007" s="292"/>
      <c r="R1007" s="591">
        <f>R1008+R1009</f>
        <v>0</v>
      </c>
      <c r="S1007" s="591">
        <f>S1008+S1009</f>
        <v>0</v>
      </c>
      <c r="T1007" s="309"/>
      <c r="U1007" s="498">
        <f>U1008+U1009</f>
        <v>0</v>
      </c>
      <c r="V1007" s="498">
        <f>V1008+V1009</f>
        <v>0</v>
      </c>
      <c r="W1007" s="310">
        <f t="shared" si="309"/>
        <v>0</v>
      </c>
      <c r="X1007" s="310">
        <f t="shared" si="310"/>
        <v>0</v>
      </c>
    </row>
    <row r="1008" spans="1:24" ht="15" hidden="1" x14ac:dyDescent="0.2">
      <c r="A1008" s="124" t="s">
        <v>125</v>
      </c>
      <c r="B1008" s="243" t="s">
        <v>180</v>
      </c>
      <c r="C1008" s="353" t="s">
        <v>8</v>
      </c>
      <c r="D1008" s="353" t="s">
        <v>614</v>
      </c>
      <c r="E1008" s="369" t="s">
        <v>1014</v>
      </c>
      <c r="F1008" s="369" t="s">
        <v>123</v>
      </c>
      <c r="G1008" s="288"/>
      <c r="H1008" s="288"/>
      <c r="I1008" s="288"/>
      <c r="J1008" s="288"/>
      <c r="K1008" s="43">
        <f t="shared" si="320"/>
        <v>0</v>
      </c>
      <c r="L1008" s="43">
        <f t="shared" si="321"/>
        <v>0</v>
      </c>
      <c r="M1008" s="217">
        <f t="shared" si="328"/>
        <v>0</v>
      </c>
      <c r="N1008" s="43"/>
      <c r="R1008" s="288"/>
      <c r="S1008" s="288"/>
      <c r="T1008" s="217"/>
      <c r="U1008" s="288"/>
      <c r="V1008" s="288"/>
      <c r="W1008" s="203">
        <f t="shared" si="309"/>
        <v>0</v>
      </c>
      <c r="X1008" s="203">
        <f t="shared" si="310"/>
        <v>0</v>
      </c>
    </row>
    <row r="1009" spans="1:24" ht="15" hidden="1" x14ac:dyDescent="0.2">
      <c r="A1009" s="124" t="s">
        <v>126</v>
      </c>
      <c r="B1009" s="243" t="s">
        <v>180</v>
      </c>
      <c r="C1009" s="353" t="s">
        <v>8</v>
      </c>
      <c r="D1009" s="353" t="s">
        <v>614</v>
      </c>
      <c r="E1009" s="369" t="s">
        <v>1014</v>
      </c>
      <c r="F1009" s="369" t="s">
        <v>124</v>
      </c>
      <c r="G1009" s="288"/>
      <c r="H1009" s="288"/>
      <c r="I1009" s="288"/>
      <c r="J1009" s="288"/>
      <c r="K1009" s="43">
        <f t="shared" si="320"/>
        <v>0</v>
      </c>
      <c r="L1009" s="43">
        <f t="shared" si="321"/>
        <v>0</v>
      </c>
      <c r="M1009" s="217">
        <f t="shared" si="328"/>
        <v>0</v>
      </c>
      <c r="N1009" s="43"/>
      <c r="R1009" s="288"/>
      <c r="S1009" s="288"/>
      <c r="T1009" s="217"/>
      <c r="U1009" s="288"/>
      <c r="V1009" s="288"/>
      <c r="W1009" s="203">
        <f t="shared" si="309"/>
        <v>0</v>
      </c>
      <c r="X1009" s="203">
        <f t="shared" si="310"/>
        <v>0</v>
      </c>
    </row>
    <row r="1010" spans="1:24" s="307" customFormat="1" ht="26.25" customHeight="1" x14ac:dyDescent="0.2">
      <c r="A1010" s="746" t="s">
        <v>49</v>
      </c>
      <c r="B1010" s="306" t="s">
        <v>180</v>
      </c>
      <c r="C1010" s="354" t="s">
        <v>8</v>
      </c>
      <c r="D1010" s="354" t="s">
        <v>614</v>
      </c>
      <c r="E1010" s="450">
        <v>9990082900</v>
      </c>
      <c r="F1010" s="450"/>
      <c r="G1010" s="591">
        <f>G1011</f>
        <v>20</v>
      </c>
      <c r="H1010" s="591">
        <f>H1011</f>
        <v>0</v>
      </c>
      <c r="I1010" s="591">
        <f>I1011</f>
        <v>20</v>
      </c>
      <c r="J1010" s="591">
        <f>J1011</f>
        <v>0</v>
      </c>
      <c r="K1010" s="591">
        <f t="shared" si="320"/>
        <v>0</v>
      </c>
      <c r="L1010" s="591">
        <f t="shared" si="321"/>
        <v>0</v>
      </c>
      <c r="M1010" s="217">
        <f t="shared" si="328"/>
        <v>0</v>
      </c>
      <c r="N1010" s="292"/>
      <c r="R1010" s="591">
        <f>R1011</f>
        <v>0</v>
      </c>
      <c r="S1010" s="591">
        <f>S1011</f>
        <v>0</v>
      </c>
      <c r="T1010" s="309"/>
      <c r="U1010" s="498">
        <f>U1011</f>
        <v>0</v>
      </c>
      <c r="V1010" s="498">
        <f>V1011</f>
        <v>0</v>
      </c>
      <c r="W1010" s="310">
        <f t="shared" si="309"/>
        <v>0</v>
      </c>
      <c r="X1010" s="310">
        <f t="shared" si="310"/>
        <v>0</v>
      </c>
    </row>
    <row r="1011" spans="1:24" ht="15" x14ac:dyDescent="0.2">
      <c r="A1011" s="739" t="s">
        <v>126</v>
      </c>
      <c r="B1011" s="243" t="s">
        <v>180</v>
      </c>
      <c r="C1011" s="353" t="s">
        <v>8</v>
      </c>
      <c r="D1011" s="353" t="s">
        <v>614</v>
      </c>
      <c r="E1011" s="369">
        <v>9990082900</v>
      </c>
      <c r="F1011" s="369" t="s">
        <v>124</v>
      </c>
      <c r="G1011" s="288">
        <v>20</v>
      </c>
      <c r="H1011" s="288"/>
      <c r="I1011" s="288">
        <v>20</v>
      </c>
      <c r="J1011" s="288"/>
      <c r="K1011" s="43">
        <f t="shared" si="320"/>
        <v>0</v>
      </c>
      <c r="L1011" s="43">
        <f t="shared" si="321"/>
        <v>0</v>
      </c>
      <c r="M1011" s="217">
        <f t="shared" si="328"/>
        <v>0</v>
      </c>
      <c r="N1011" s="43"/>
      <c r="R1011" s="288"/>
      <c r="S1011" s="288"/>
      <c r="T1011" s="217"/>
      <c r="U1011" s="288"/>
      <c r="V1011" s="288"/>
      <c r="W1011" s="203">
        <f t="shared" si="309"/>
        <v>0</v>
      </c>
      <c r="X1011" s="203">
        <f t="shared" si="310"/>
        <v>0</v>
      </c>
    </row>
    <row r="1012" spans="1:24" s="307" customFormat="1" ht="15" x14ac:dyDescent="0.2">
      <c r="A1012" s="746" t="s">
        <v>294</v>
      </c>
      <c r="B1012" s="306" t="s">
        <v>180</v>
      </c>
      <c r="C1012" s="354" t="s">
        <v>8</v>
      </c>
      <c r="D1012" s="354" t="s">
        <v>614</v>
      </c>
      <c r="E1012" s="450" t="s">
        <v>692</v>
      </c>
      <c r="F1012" s="450"/>
      <c r="G1012" s="591">
        <f>SUM(G1013:G1014)</f>
        <v>2865.933</v>
      </c>
      <c r="H1012" s="591">
        <f>SUM(H1013:H1014)</f>
        <v>0</v>
      </c>
      <c r="I1012" s="591">
        <f>SUM(I1013:I1014)</f>
        <v>5044.3201999999992</v>
      </c>
      <c r="J1012" s="591">
        <f>SUM(J1013:J1014)</f>
        <v>0</v>
      </c>
      <c r="K1012" s="591">
        <f t="shared" si="320"/>
        <v>2178.3871999999992</v>
      </c>
      <c r="L1012" s="591">
        <f t="shared" si="321"/>
        <v>0</v>
      </c>
      <c r="M1012" s="217">
        <f t="shared" si="328"/>
        <v>0</v>
      </c>
      <c r="N1012" s="308">
        <f>N1014</f>
        <v>3824.71</v>
      </c>
      <c r="R1012" s="591">
        <f>SUM(R1013:R1014)</f>
        <v>2111.7195999999999</v>
      </c>
      <c r="S1012" s="591">
        <f>SUM(S1013:S1014)</f>
        <v>0</v>
      </c>
      <c r="T1012" s="309">
        <f>I1012-G1012</f>
        <v>2178.3871999999992</v>
      </c>
      <c r="U1012" s="498">
        <f>SUM(U1013:U1014)</f>
        <v>6461.5773200000003</v>
      </c>
      <c r="V1012" s="498">
        <f>SUM(V1013:V1014)</f>
        <v>0</v>
      </c>
      <c r="W1012" s="310">
        <f t="shared" si="309"/>
        <v>-2178.3871999999992</v>
      </c>
      <c r="X1012" s="310">
        <f t="shared" si="310"/>
        <v>0</v>
      </c>
    </row>
    <row r="1013" spans="1:24" ht="15" x14ac:dyDescent="0.2">
      <c r="A1013" s="739" t="s">
        <v>125</v>
      </c>
      <c r="B1013" s="243" t="s">
        <v>180</v>
      </c>
      <c r="C1013" s="353" t="s">
        <v>8</v>
      </c>
      <c r="D1013" s="353" t="s">
        <v>614</v>
      </c>
      <c r="E1013" s="369" t="s">
        <v>692</v>
      </c>
      <c r="F1013" s="369" t="s">
        <v>123</v>
      </c>
      <c r="G1013" s="288">
        <v>341.18574999999998</v>
      </c>
      <c r="H1013" s="288"/>
      <c r="I1013" s="288">
        <v>341.18574999999998</v>
      </c>
      <c r="J1013" s="288"/>
      <c r="K1013" s="43">
        <f t="shared" si="320"/>
        <v>0</v>
      </c>
      <c r="L1013" s="43">
        <f t="shared" si="321"/>
        <v>0</v>
      </c>
      <c r="M1013" s="217">
        <f t="shared" si="328"/>
        <v>0</v>
      </c>
      <c r="N1013" s="171">
        <v>3824.71</v>
      </c>
      <c r="R1013" s="288">
        <v>0</v>
      </c>
      <c r="S1013" s="288"/>
      <c r="T1013" s="217">
        <f>I1013-G1013</f>
        <v>0</v>
      </c>
      <c r="U1013" s="288">
        <v>2658.7249999999999</v>
      </c>
      <c r="V1013" s="288">
        <v>0</v>
      </c>
      <c r="W1013" s="203">
        <f t="shared" si="309"/>
        <v>0</v>
      </c>
      <c r="X1013" s="203">
        <f t="shared" si="310"/>
        <v>0</v>
      </c>
    </row>
    <row r="1014" spans="1:24" ht="15" x14ac:dyDescent="0.2">
      <c r="A1014" s="739" t="s">
        <v>126</v>
      </c>
      <c r="B1014" s="243" t="s">
        <v>180</v>
      </c>
      <c r="C1014" s="353" t="s">
        <v>8</v>
      </c>
      <c r="D1014" s="353" t="s">
        <v>614</v>
      </c>
      <c r="E1014" s="369" t="s">
        <v>692</v>
      </c>
      <c r="F1014" s="369" t="s">
        <v>124</v>
      </c>
      <c r="G1014" s="288">
        <v>2524.7472499999999</v>
      </c>
      <c r="H1014" s="288"/>
      <c r="I1014" s="288">
        <v>4703.1344499999996</v>
      </c>
      <c r="J1014" s="288"/>
      <c r="K1014" s="43">
        <f t="shared" si="320"/>
        <v>2178.3871999999997</v>
      </c>
      <c r="L1014" s="43">
        <f t="shared" si="321"/>
        <v>0</v>
      </c>
      <c r="M1014" s="217">
        <f t="shared" si="328"/>
        <v>0</v>
      </c>
      <c r="N1014" s="171">
        <v>3824.71</v>
      </c>
      <c r="R1014" s="288">
        <v>2111.7195999999999</v>
      </c>
      <c r="S1014" s="288"/>
      <c r="T1014" s="217">
        <f>I1014-G1014</f>
        <v>2178.3871999999997</v>
      </c>
      <c r="U1014" s="288">
        <v>3802.85232</v>
      </c>
      <c r="V1014" s="288">
        <v>0</v>
      </c>
      <c r="W1014" s="203">
        <f t="shared" si="309"/>
        <v>-2178.3871999999997</v>
      </c>
      <c r="X1014" s="203">
        <f t="shared" si="310"/>
        <v>0</v>
      </c>
    </row>
    <row r="1015" spans="1:24" s="323" customFormat="1" ht="15" x14ac:dyDescent="0.2">
      <c r="A1015" s="746" t="s">
        <v>596</v>
      </c>
      <c r="B1015" s="306" t="s">
        <v>180</v>
      </c>
      <c r="C1015" s="354" t="s">
        <v>8</v>
      </c>
      <c r="D1015" s="354" t="s">
        <v>606</v>
      </c>
      <c r="E1015" s="450"/>
      <c r="F1015" s="450"/>
      <c r="G1015" s="591">
        <f>G1016+G1058+G1038+G1054</f>
        <v>47656.580220000003</v>
      </c>
      <c r="H1015" s="591">
        <f t="shared" ref="H1015:L1015" si="329">H1016+H1058+H1038+H1054</f>
        <v>0</v>
      </c>
      <c r="I1015" s="591">
        <f t="shared" si="329"/>
        <v>59416.073260000005</v>
      </c>
      <c r="J1015" s="591">
        <f t="shared" si="329"/>
        <v>0</v>
      </c>
      <c r="K1015" s="591">
        <f t="shared" si="329"/>
        <v>11759.493040000001</v>
      </c>
      <c r="L1015" s="591">
        <f t="shared" si="329"/>
        <v>0</v>
      </c>
      <c r="M1015" s="217">
        <f t="shared" si="328"/>
        <v>0</v>
      </c>
      <c r="N1015" s="312"/>
      <c r="R1015" s="591">
        <f>R1016+R1058+R1038</f>
        <v>70129.216519999987</v>
      </c>
      <c r="S1015" s="591">
        <f>S1016+S1058+S1038</f>
        <v>17094.599999999999</v>
      </c>
      <c r="T1015" s="309">
        <f t="shared" ref="T1015:T1027" si="330">I1015-G1015</f>
        <v>11759.493040000001</v>
      </c>
      <c r="U1015" s="498" t="e">
        <f>U1016+U1058</f>
        <v>#REF!</v>
      </c>
      <c r="V1015" s="498" t="e">
        <f>V1016+V1058</f>
        <v>#REF!</v>
      </c>
      <c r="W1015" s="310">
        <f t="shared" ref="W1015:W1088" si="331">G1015-I1015</f>
        <v>-11759.493040000001</v>
      </c>
      <c r="X1015" s="310">
        <f t="shared" ref="X1015:X1088" si="332">K1015+W1015</f>
        <v>0</v>
      </c>
    </row>
    <row r="1016" spans="1:24" s="323" customFormat="1" ht="15" x14ac:dyDescent="0.2">
      <c r="A1016" s="746" t="s">
        <v>349</v>
      </c>
      <c r="B1016" s="306" t="s">
        <v>180</v>
      </c>
      <c r="C1016" s="354" t="s">
        <v>8</v>
      </c>
      <c r="D1016" s="354" t="s">
        <v>606</v>
      </c>
      <c r="E1016" s="450" t="s">
        <v>351</v>
      </c>
      <c r="F1016" s="450"/>
      <c r="G1016" s="591">
        <f>G1017</f>
        <v>47596.580220000003</v>
      </c>
      <c r="H1016" s="591">
        <f>H1017</f>
        <v>0</v>
      </c>
      <c r="I1016" s="591">
        <f>I1017</f>
        <v>59356.073260000005</v>
      </c>
      <c r="J1016" s="591">
        <f>J1017</f>
        <v>0</v>
      </c>
      <c r="K1016" s="591">
        <f t="shared" si="320"/>
        <v>11759.493040000001</v>
      </c>
      <c r="L1016" s="591">
        <f t="shared" si="321"/>
        <v>0</v>
      </c>
      <c r="M1016" s="217">
        <f t="shared" si="328"/>
        <v>0</v>
      </c>
      <c r="N1016" s="312"/>
      <c r="R1016" s="591">
        <f>R1017</f>
        <v>69574.216519999987</v>
      </c>
      <c r="S1016" s="591">
        <f>S1017</f>
        <v>17094.599999999999</v>
      </c>
      <c r="T1016" s="309">
        <f t="shared" si="330"/>
        <v>11759.493040000001</v>
      </c>
      <c r="U1016" s="498" t="e">
        <f>U1017+#REF!</f>
        <v>#REF!</v>
      </c>
      <c r="V1016" s="498" t="e">
        <f>V1017+#REF!</f>
        <v>#REF!</v>
      </c>
      <c r="W1016" s="310">
        <f t="shared" si="331"/>
        <v>-11759.493040000001</v>
      </c>
      <c r="X1016" s="310">
        <f t="shared" si="332"/>
        <v>0</v>
      </c>
    </row>
    <row r="1017" spans="1:24" s="323" customFormat="1" ht="15" x14ac:dyDescent="0.2">
      <c r="A1017" s="746" t="s">
        <v>1308</v>
      </c>
      <c r="B1017" s="306" t="s">
        <v>180</v>
      </c>
      <c r="C1017" s="354" t="s">
        <v>8</v>
      </c>
      <c r="D1017" s="354" t="s">
        <v>606</v>
      </c>
      <c r="E1017" s="450">
        <v>7830000000</v>
      </c>
      <c r="F1017" s="450"/>
      <c r="G1017" s="591">
        <f>G1018+G1031+G1034</f>
        <v>47596.580220000003</v>
      </c>
      <c r="H1017" s="591">
        <f>H1018+H1031+H1034</f>
        <v>0</v>
      </c>
      <c r="I1017" s="591">
        <f>I1018+I1031+I1034</f>
        <v>59356.073260000005</v>
      </c>
      <c r="J1017" s="591">
        <f>J1018+J1031+J1034</f>
        <v>0</v>
      </c>
      <c r="K1017" s="591">
        <f t="shared" si="320"/>
        <v>11759.493040000001</v>
      </c>
      <c r="L1017" s="591">
        <f t="shared" si="321"/>
        <v>0</v>
      </c>
      <c r="M1017" s="217">
        <f t="shared" si="328"/>
        <v>0</v>
      </c>
      <c r="N1017" s="312"/>
      <c r="R1017" s="591">
        <f>R1018+R1031+R1034</f>
        <v>69574.216519999987</v>
      </c>
      <c r="S1017" s="591">
        <f>S1018+S1031+S1034</f>
        <v>17094.599999999999</v>
      </c>
      <c r="T1017" s="309">
        <f t="shared" si="330"/>
        <v>11759.493040000001</v>
      </c>
      <c r="U1017" s="498" t="e">
        <f>U1018+U1031</f>
        <v>#REF!</v>
      </c>
      <c r="V1017" s="498" t="e">
        <f>V1018+V1031</f>
        <v>#REF!</v>
      </c>
      <c r="W1017" s="310">
        <f t="shared" si="331"/>
        <v>-11759.493040000001</v>
      </c>
      <c r="X1017" s="310">
        <f t="shared" si="332"/>
        <v>0</v>
      </c>
    </row>
    <row r="1018" spans="1:24" s="323" customFormat="1" ht="15" x14ac:dyDescent="0.2">
      <c r="A1018" s="746" t="s">
        <v>1309</v>
      </c>
      <c r="B1018" s="306" t="s">
        <v>180</v>
      </c>
      <c r="C1018" s="354" t="s">
        <v>8</v>
      </c>
      <c r="D1018" s="354" t="s">
        <v>606</v>
      </c>
      <c r="E1018" s="450">
        <v>7830100000</v>
      </c>
      <c r="F1018" s="450"/>
      <c r="G1018" s="591">
        <f>G1019+G1022+G1025+G1028</f>
        <v>47596.580220000003</v>
      </c>
      <c r="H1018" s="591">
        <f>H1019+H1022+H1025+H1028</f>
        <v>0</v>
      </c>
      <c r="I1018" s="591">
        <f>I1019+I1022+I1025+I1028</f>
        <v>59356.073260000005</v>
      </c>
      <c r="J1018" s="591">
        <f>J1019+J1022+J1025+J1028</f>
        <v>0</v>
      </c>
      <c r="K1018" s="591">
        <f t="shared" si="320"/>
        <v>11759.493040000001</v>
      </c>
      <c r="L1018" s="591">
        <f t="shared" si="321"/>
        <v>0</v>
      </c>
      <c r="M1018" s="217">
        <f t="shared" si="328"/>
        <v>0</v>
      </c>
      <c r="N1018" s="312"/>
      <c r="R1018" s="591">
        <f>R1019+R1022+R1025+R1028</f>
        <v>51584.705519999996</v>
      </c>
      <c r="S1018" s="591">
        <f>S1019+S1022+S1025+S1028</f>
        <v>0</v>
      </c>
      <c r="T1018" s="309">
        <f t="shared" si="330"/>
        <v>11759.493040000001</v>
      </c>
      <c r="U1018" s="498" t="e">
        <f>U1019+U1022+#REF!+U1025+U1034+#REF!+U1028</f>
        <v>#REF!</v>
      </c>
      <c r="V1018" s="498" t="e">
        <f>V1019+V1022+#REF!+V1025+V1034+#REF!+V1028</f>
        <v>#REF!</v>
      </c>
      <c r="W1018" s="310">
        <f t="shared" si="331"/>
        <v>-11759.493040000001</v>
      </c>
      <c r="X1018" s="310">
        <f t="shared" si="332"/>
        <v>0</v>
      </c>
    </row>
    <row r="1019" spans="1:24" s="323" customFormat="1" ht="25.5" x14ac:dyDescent="0.2">
      <c r="A1019" s="746" t="s">
        <v>645</v>
      </c>
      <c r="B1019" s="306" t="s">
        <v>180</v>
      </c>
      <c r="C1019" s="354" t="s">
        <v>8</v>
      </c>
      <c r="D1019" s="354" t="s">
        <v>606</v>
      </c>
      <c r="E1019" s="450">
        <v>7830113030</v>
      </c>
      <c r="F1019" s="450"/>
      <c r="G1019" s="591">
        <f>G1020+G1021</f>
        <v>9247.3332200000004</v>
      </c>
      <c r="H1019" s="591">
        <f>H1020+H1021</f>
        <v>0</v>
      </c>
      <c r="I1019" s="591">
        <f>I1020+I1021</f>
        <v>11601.57604</v>
      </c>
      <c r="J1019" s="591">
        <f>J1020+J1021</f>
        <v>0</v>
      </c>
      <c r="K1019" s="591">
        <f t="shared" si="320"/>
        <v>2354.2428199999995</v>
      </c>
      <c r="L1019" s="591">
        <f t="shared" si="321"/>
        <v>0</v>
      </c>
      <c r="M1019" s="217">
        <f t="shared" si="328"/>
        <v>0</v>
      </c>
      <c r="N1019" s="312"/>
      <c r="R1019" s="591">
        <f>R1020+R1021</f>
        <v>10751.72652</v>
      </c>
      <c r="S1019" s="591">
        <f>S1020+S1021</f>
        <v>0</v>
      </c>
      <c r="T1019" s="309">
        <f t="shared" si="330"/>
        <v>2354.2428199999995</v>
      </c>
      <c r="U1019" s="498">
        <f>U1020+U1021</f>
        <v>14994.126769999999</v>
      </c>
      <c r="V1019" s="498">
        <f>V1020+V1021</f>
        <v>0</v>
      </c>
      <c r="W1019" s="310">
        <f t="shared" si="331"/>
        <v>-2354.2428199999995</v>
      </c>
      <c r="X1019" s="310">
        <f t="shared" si="332"/>
        <v>0</v>
      </c>
    </row>
    <row r="1020" spans="1:24" s="176" customFormat="1" ht="25.5" x14ac:dyDescent="0.2">
      <c r="A1020" s="739" t="s">
        <v>648</v>
      </c>
      <c r="B1020" s="243" t="s">
        <v>180</v>
      </c>
      <c r="C1020" s="353" t="s">
        <v>8</v>
      </c>
      <c r="D1020" s="353" t="s">
        <v>606</v>
      </c>
      <c r="E1020" s="369">
        <v>7830113030</v>
      </c>
      <c r="F1020" s="369" t="s">
        <v>127</v>
      </c>
      <c r="G1020" s="288">
        <v>5752.43246</v>
      </c>
      <c r="H1020" s="288"/>
      <c r="I1020" s="288">
        <v>6020.2970299999997</v>
      </c>
      <c r="J1020" s="288"/>
      <c r="K1020" s="43">
        <f t="shared" si="320"/>
        <v>267.86456999999973</v>
      </c>
      <c r="L1020" s="43">
        <f t="shared" si="321"/>
        <v>0</v>
      </c>
      <c r="M1020" s="217">
        <f t="shared" si="328"/>
        <v>0</v>
      </c>
      <c r="N1020" s="173"/>
      <c r="R1020" s="288">
        <v>5265.6976100000002</v>
      </c>
      <c r="S1020" s="288"/>
      <c r="T1020" s="217">
        <f t="shared" si="330"/>
        <v>267.86456999999973</v>
      </c>
      <c r="U1020" s="288">
        <v>7444.7483499999998</v>
      </c>
      <c r="V1020" s="288">
        <v>0</v>
      </c>
      <c r="W1020" s="203">
        <f t="shared" si="331"/>
        <v>-267.86456999999973</v>
      </c>
      <c r="X1020" s="203">
        <f t="shared" si="332"/>
        <v>0</v>
      </c>
    </row>
    <row r="1021" spans="1:24" s="176" customFormat="1" ht="25.5" x14ac:dyDescent="0.2">
      <c r="A1021" s="739" t="s">
        <v>646</v>
      </c>
      <c r="B1021" s="243" t="s">
        <v>180</v>
      </c>
      <c r="C1021" s="353" t="s">
        <v>8</v>
      </c>
      <c r="D1021" s="353" t="s">
        <v>606</v>
      </c>
      <c r="E1021" s="369">
        <v>7830113030</v>
      </c>
      <c r="F1021" s="369">
        <v>621</v>
      </c>
      <c r="G1021" s="288">
        <v>3494.90076</v>
      </c>
      <c r="H1021" s="288"/>
      <c r="I1021" s="288">
        <v>5581.2790100000002</v>
      </c>
      <c r="J1021" s="288"/>
      <c r="K1021" s="43">
        <f t="shared" si="320"/>
        <v>2086.3782500000002</v>
      </c>
      <c r="L1021" s="43">
        <f t="shared" si="321"/>
        <v>0</v>
      </c>
      <c r="M1021" s="217">
        <f t="shared" si="328"/>
        <v>0</v>
      </c>
      <c r="N1021" s="173"/>
      <c r="R1021" s="288">
        <v>5486.02891</v>
      </c>
      <c r="S1021" s="288"/>
      <c r="T1021" s="217"/>
      <c r="U1021" s="288">
        <v>7549.37842</v>
      </c>
      <c r="V1021" s="288">
        <v>0</v>
      </c>
      <c r="W1021" s="203"/>
      <c r="X1021" s="203"/>
    </row>
    <row r="1022" spans="1:24" s="307" customFormat="1" ht="15" x14ac:dyDescent="0.2">
      <c r="A1022" s="746" t="s">
        <v>222</v>
      </c>
      <c r="B1022" s="306" t="s">
        <v>180</v>
      </c>
      <c r="C1022" s="354" t="s">
        <v>8</v>
      </c>
      <c r="D1022" s="354" t="s">
        <v>606</v>
      </c>
      <c r="E1022" s="582" t="s">
        <v>1310</v>
      </c>
      <c r="F1022" s="450"/>
      <c r="G1022" s="591">
        <f>G1023+G1024</f>
        <v>26987.4</v>
      </c>
      <c r="H1022" s="591">
        <f>H1023+H1024</f>
        <v>0</v>
      </c>
      <c r="I1022" s="591">
        <f>I1023+I1024</f>
        <v>26987.4</v>
      </c>
      <c r="J1022" s="591">
        <f>J1023+J1024</f>
        <v>0</v>
      </c>
      <c r="K1022" s="591">
        <f t="shared" si="320"/>
        <v>0</v>
      </c>
      <c r="L1022" s="591">
        <f t="shared" si="321"/>
        <v>0</v>
      </c>
      <c r="M1022" s="217">
        <f t="shared" si="328"/>
        <v>0</v>
      </c>
      <c r="N1022" s="308">
        <f>N1023</f>
        <v>16295.6</v>
      </c>
      <c r="R1022" s="591">
        <f>R1023+R1024</f>
        <v>27050.5</v>
      </c>
      <c r="S1022" s="591">
        <f>S1023+S1024</f>
        <v>0</v>
      </c>
      <c r="T1022" s="309">
        <f t="shared" si="330"/>
        <v>0</v>
      </c>
      <c r="U1022" s="498">
        <f>U1023+U1024</f>
        <v>26987.4</v>
      </c>
      <c r="V1022" s="498">
        <f>V1023+V1024</f>
        <v>0</v>
      </c>
      <c r="W1022" s="310">
        <f t="shared" si="331"/>
        <v>0</v>
      </c>
      <c r="X1022" s="310">
        <f t="shared" si="332"/>
        <v>0</v>
      </c>
    </row>
    <row r="1023" spans="1:24" ht="25.5" x14ac:dyDescent="0.2">
      <c r="A1023" s="739" t="s">
        <v>648</v>
      </c>
      <c r="B1023" s="243" t="s">
        <v>180</v>
      </c>
      <c r="C1023" s="353" t="s">
        <v>8</v>
      </c>
      <c r="D1023" s="353" t="s">
        <v>606</v>
      </c>
      <c r="E1023" s="369" t="s">
        <v>1310</v>
      </c>
      <c r="F1023" s="369" t="s">
        <v>127</v>
      </c>
      <c r="G1023" s="288">
        <v>11745.651</v>
      </c>
      <c r="H1023" s="288"/>
      <c r="I1023" s="288">
        <v>11745.651</v>
      </c>
      <c r="J1023" s="288"/>
      <c r="K1023" s="43">
        <f t="shared" si="320"/>
        <v>0</v>
      </c>
      <c r="L1023" s="43">
        <f t="shared" si="321"/>
        <v>0</v>
      </c>
      <c r="M1023" s="217">
        <f t="shared" si="328"/>
        <v>0</v>
      </c>
      <c r="N1023" s="171">
        <v>16295.6</v>
      </c>
      <c r="R1023" s="288">
        <v>10442.23842</v>
      </c>
      <c r="S1023" s="288"/>
      <c r="T1023" s="217">
        <f t="shared" si="330"/>
        <v>0</v>
      </c>
      <c r="U1023" s="288">
        <v>10915.63</v>
      </c>
      <c r="V1023" s="288">
        <v>0</v>
      </c>
      <c r="W1023" s="203">
        <f t="shared" si="331"/>
        <v>0</v>
      </c>
      <c r="X1023" s="203">
        <f t="shared" si="332"/>
        <v>0</v>
      </c>
    </row>
    <row r="1024" spans="1:24" ht="25.5" x14ac:dyDescent="0.2">
      <c r="A1024" s="739" t="s">
        <v>646</v>
      </c>
      <c r="B1024" s="243" t="s">
        <v>180</v>
      </c>
      <c r="C1024" s="353" t="s">
        <v>8</v>
      </c>
      <c r="D1024" s="353" t="s">
        <v>606</v>
      </c>
      <c r="E1024" s="369" t="s">
        <v>1310</v>
      </c>
      <c r="F1024" s="369">
        <v>621</v>
      </c>
      <c r="G1024" s="288">
        <v>15241.749</v>
      </c>
      <c r="H1024" s="288"/>
      <c r="I1024" s="288">
        <v>15241.749</v>
      </c>
      <c r="J1024" s="288"/>
      <c r="K1024" s="43">
        <f t="shared" si="320"/>
        <v>0</v>
      </c>
      <c r="L1024" s="43">
        <f t="shared" si="321"/>
        <v>0</v>
      </c>
      <c r="M1024" s="217">
        <f t="shared" si="328"/>
        <v>0</v>
      </c>
      <c r="N1024" s="171"/>
      <c r="R1024" s="288">
        <v>16608.261579999999</v>
      </c>
      <c r="S1024" s="288"/>
      <c r="T1024" s="217"/>
      <c r="U1024" s="288">
        <v>16071.77</v>
      </c>
      <c r="V1024" s="288">
        <v>0</v>
      </c>
      <c r="W1024" s="203"/>
      <c r="X1024" s="203"/>
    </row>
    <row r="1025" spans="1:24" s="307" customFormat="1" ht="25.5" x14ac:dyDescent="0.2">
      <c r="A1025" s="746" t="s">
        <v>1247</v>
      </c>
      <c r="B1025" s="306" t="s">
        <v>180</v>
      </c>
      <c r="C1025" s="354" t="s">
        <v>8</v>
      </c>
      <c r="D1025" s="354" t="s">
        <v>606</v>
      </c>
      <c r="E1025" s="582" t="s">
        <v>1311</v>
      </c>
      <c r="F1025" s="450"/>
      <c r="G1025" s="591">
        <f>G1026+G1027</f>
        <v>11361.847</v>
      </c>
      <c r="H1025" s="591">
        <f>H1026+H1027</f>
        <v>0</v>
      </c>
      <c r="I1025" s="591">
        <f>I1026+I1027</f>
        <v>11361.847</v>
      </c>
      <c r="J1025" s="591">
        <f>J1026+J1027</f>
        <v>0</v>
      </c>
      <c r="K1025" s="591">
        <f t="shared" si="320"/>
        <v>0</v>
      </c>
      <c r="L1025" s="591">
        <f t="shared" si="321"/>
        <v>0</v>
      </c>
      <c r="M1025" s="217">
        <f t="shared" si="328"/>
        <v>0</v>
      </c>
      <c r="N1025" s="308"/>
      <c r="R1025" s="591">
        <f>R1026+R1027</f>
        <v>13782.478999999999</v>
      </c>
      <c r="S1025" s="591">
        <f>S1026+S1027</f>
        <v>0</v>
      </c>
      <c r="T1025" s="309">
        <f t="shared" si="330"/>
        <v>0</v>
      </c>
      <c r="U1025" s="498">
        <f>U1026+U1027</f>
        <v>6121.41</v>
      </c>
      <c r="V1025" s="498">
        <f>V1026+V1027</f>
        <v>0</v>
      </c>
      <c r="W1025" s="310">
        <f t="shared" si="331"/>
        <v>0</v>
      </c>
      <c r="X1025" s="310">
        <f t="shared" si="332"/>
        <v>0</v>
      </c>
    </row>
    <row r="1026" spans="1:24" ht="25.5" x14ac:dyDescent="0.2">
      <c r="A1026" s="739" t="s">
        <v>648</v>
      </c>
      <c r="B1026" s="243" t="s">
        <v>180</v>
      </c>
      <c r="C1026" s="353" t="s">
        <v>8</v>
      </c>
      <c r="D1026" s="353" t="s">
        <v>606</v>
      </c>
      <c r="E1026" s="369" t="s">
        <v>1311</v>
      </c>
      <c r="F1026" s="369" t="s">
        <v>127</v>
      </c>
      <c r="G1026" s="288">
        <v>6451.8869999999997</v>
      </c>
      <c r="H1026" s="288"/>
      <c r="I1026" s="288">
        <v>6451.8869999999997</v>
      </c>
      <c r="J1026" s="288"/>
      <c r="K1026" s="43">
        <f t="shared" ref="K1026:K1093" si="333">I1026-G1026</f>
        <v>0</v>
      </c>
      <c r="L1026" s="43">
        <f t="shared" ref="L1026:L1093" si="334">J1026-H1026</f>
        <v>0</v>
      </c>
      <c r="M1026" s="217">
        <f t="shared" si="328"/>
        <v>0</v>
      </c>
      <c r="N1026" s="171"/>
      <c r="R1026" s="288">
        <v>6274.5330000000004</v>
      </c>
      <c r="S1026" s="288"/>
      <c r="T1026" s="217">
        <f t="shared" si="330"/>
        <v>0</v>
      </c>
      <c r="U1026" s="288">
        <v>2964.6979999999999</v>
      </c>
      <c r="V1026" s="288">
        <v>0</v>
      </c>
      <c r="W1026" s="203">
        <f t="shared" si="331"/>
        <v>0</v>
      </c>
      <c r="X1026" s="203">
        <f t="shared" si="332"/>
        <v>0</v>
      </c>
    </row>
    <row r="1027" spans="1:24" ht="25.5" x14ac:dyDescent="0.2">
      <c r="A1027" s="744" t="s">
        <v>646</v>
      </c>
      <c r="B1027" s="243" t="s">
        <v>180</v>
      </c>
      <c r="C1027" s="353" t="s">
        <v>8</v>
      </c>
      <c r="D1027" s="353" t="s">
        <v>606</v>
      </c>
      <c r="E1027" s="369" t="s">
        <v>1311</v>
      </c>
      <c r="F1027" s="369">
        <v>621</v>
      </c>
      <c r="G1027" s="288">
        <v>4909.96</v>
      </c>
      <c r="H1027" s="288"/>
      <c r="I1027" s="288">
        <v>4909.96</v>
      </c>
      <c r="J1027" s="288"/>
      <c r="K1027" s="43">
        <f t="shared" si="333"/>
        <v>0</v>
      </c>
      <c r="L1027" s="43">
        <f t="shared" si="334"/>
        <v>0</v>
      </c>
      <c r="M1027" s="217">
        <f t="shared" si="328"/>
        <v>0</v>
      </c>
      <c r="N1027" s="171"/>
      <c r="R1027" s="288">
        <v>7507.9459999999999</v>
      </c>
      <c r="S1027" s="288"/>
      <c r="T1027" s="217">
        <f t="shared" si="330"/>
        <v>0</v>
      </c>
      <c r="U1027" s="288">
        <v>3156.712</v>
      </c>
      <c r="V1027" s="288">
        <v>0</v>
      </c>
      <c r="W1027" s="203">
        <f t="shared" si="331"/>
        <v>0</v>
      </c>
      <c r="X1027" s="203">
        <f t="shared" si="332"/>
        <v>0</v>
      </c>
    </row>
    <row r="1028" spans="1:24" s="307" customFormat="1" ht="26.25" customHeight="1" x14ac:dyDescent="0.2">
      <c r="A1028" s="746" t="s">
        <v>1050</v>
      </c>
      <c r="B1028" s="306" t="s">
        <v>180</v>
      </c>
      <c r="C1028" s="354" t="s">
        <v>8</v>
      </c>
      <c r="D1028" s="354" t="s">
        <v>606</v>
      </c>
      <c r="E1028" s="719" t="s">
        <v>2020</v>
      </c>
      <c r="F1028" s="495"/>
      <c r="G1028" s="591">
        <f>G1029+G1030</f>
        <v>0</v>
      </c>
      <c r="H1028" s="591">
        <f>H1029+H1030</f>
        <v>0</v>
      </c>
      <c r="I1028" s="591">
        <f>I1029+I1030</f>
        <v>9405.2502199999999</v>
      </c>
      <c r="J1028" s="591">
        <f>J1029+J1030</f>
        <v>0</v>
      </c>
      <c r="K1028" s="591">
        <f t="shared" si="333"/>
        <v>9405.2502199999999</v>
      </c>
      <c r="L1028" s="591">
        <f t="shared" si="334"/>
        <v>0</v>
      </c>
      <c r="M1028" s="217">
        <f>I1028-G1028-K1028</f>
        <v>0</v>
      </c>
      <c r="N1028" s="308"/>
      <c r="R1028" s="591">
        <f>R1029+R1030</f>
        <v>0</v>
      </c>
      <c r="S1028" s="591">
        <f>S1029+S1030</f>
        <v>0</v>
      </c>
      <c r="T1028" s="309">
        <f>I1028-G1028</f>
        <v>9405.2502199999999</v>
      </c>
      <c r="U1028" s="498">
        <f>U1029+U1030</f>
        <v>5146.2640000000001</v>
      </c>
      <c r="V1028" s="498">
        <f>V1029+V1030</f>
        <v>0</v>
      </c>
      <c r="W1028" s="310">
        <f t="shared" ref="W1028:W1033" si="335">G1028-I1028</f>
        <v>-9405.2502199999999</v>
      </c>
      <c r="X1028" s="310">
        <f t="shared" ref="X1028:X1033" si="336">K1028+W1028</f>
        <v>0</v>
      </c>
    </row>
    <row r="1029" spans="1:24" ht="38.25" customHeight="1" x14ac:dyDescent="0.2">
      <c r="A1029" s="739" t="s">
        <v>648</v>
      </c>
      <c r="B1029" s="243" t="s">
        <v>180</v>
      </c>
      <c r="C1029" s="353" t="s">
        <v>8</v>
      </c>
      <c r="D1029" s="353" t="s">
        <v>606</v>
      </c>
      <c r="E1029" s="386" t="s">
        <v>2020</v>
      </c>
      <c r="F1029" s="369" t="s">
        <v>127</v>
      </c>
      <c r="G1029" s="288"/>
      <c r="H1029" s="288"/>
      <c r="I1029" s="288">
        <v>5074.5313599999999</v>
      </c>
      <c r="J1029" s="288"/>
      <c r="K1029" s="43">
        <f t="shared" si="333"/>
        <v>5074.5313599999999</v>
      </c>
      <c r="L1029" s="43">
        <f t="shared" si="334"/>
        <v>0</v>
      </c>
      <c r="M1029" s="217">
        <f>I1029-G1029-K1029</f>
        <v>0</v>
      </c>
      <c r="N1029" s="171"/>
      <c r="R1029" s="288"/>
      <c r="S1029" s="288"/>
      <c r="T1029" s="217">
        <f>I1029-G1029</f>
        <v>5074.5313599999999</v>
      </c>
      <c r="U1029" s="288">
        <v>1853.3969999999999</v>
      </c>
      <c r="V1029" s="288">
        <v>0</v>
      </c>
      <c r="W1029" s="203">
        <f t="shared" si="335"/>
        <v>-5074.5313599999999</v>
      </c>
      <c r="X1029" s="203">
        <f t="shared" si="336"/>
        <v>0</v>
      </c>
    </row>
    <row r="1030" spans="1:24" ht="38.25" customHeight="1" x14ac:dyDescent="0.2">
      <c r="A1030" s="744" t="s">
        <v>646</v>
      </c>
      <c r="B1030" s="243" t="s">
        <v>180</v>
      </c>
      <c r="C1030" s="353" t="s">
        <v>8</v>
      </c>
      <c r="D1030" s="353" t="s">
        <v>606</v>
      </c>
      <c r="E1030" s="386" t="s">
        <v>2020</v>
      </c>
      <c r="F1030" s="369">
        <v>621</v>
      </c>
      <c r="G1030" s="288"/>
      <c r="H1030" s="288"/>
      <c r="I1030" s="288">
        <v>4330.7188599999999</v>
      </c>
      <c r="J1030" s="288"/>
      <c r="K1030" s="43">
        <f t="shared" si="333"/>
        <v>4330.7188599999999</v>
      </c>
      <c r="L1030" s="43">
        <f t="shared" si="334"/>
        <v>0</v>
      </c>
      <c r="M1030" s="217">
        <f>I1030-G1030-K1030</f>
        <v>0</v>
      </c>
      <c r="N1030" s="171"/>
      <c r="R1030" s="288"/>
      <c r="S1030" s="288"/>
      <c r="T1030" s="217">
        <f>I1030-G1030</f>
        <v>4330.7188599999999</v>
      </c>
      <c r="U1030" s="288">
        <v>3292.8670000000002</v>
      </c>
      <c r="V1030" s="288">
        <v>0</v>
      </c>
      <c r="W1030" s="203">
        <f t="shared" si="335"/>
        <v>-4330.7188599999999</v>
      </c>
      <c r="X1030" s="203">
        <f t="shared" si="336"/>
        <v>0</v>
      </c>
    </row>
    <row r="1031" spans="1:24" ht="42" hidden="1" customHeight="1" x14ac:dyDescent="0.2">
      <c r="A1031" s="494" t="s">
        <v>1396</v>
      </c>
      <c r="B1031" s="306" t="s">
        <v>180</v>
      </c>
      <c r="C1031" s="354" t="s">
        <v>8</v>
      </c>
      <c r="D1031" s="354" t="s">
        <v>606</v>
      </c>
      <c r="E1031" s="450">
        <v>7830200000</v>
      </c>
      <c r="F1031" s="450"/>
      <c r="G1031" s="498">
        <f t="shared" ref="G1031:J1032" si="337">G1032</f>
        <v>0</v>
      </c>
      <c r="H1031" s="498">
        <f t="shared" si="337"/>
        <v>0</v>
      </c>
      <c r="I1031" s="591">
        <f t="shared" si="337"/>
        <v>0</v>
      </c>
      <c r="J1031" s="591">
        <f t="shared" si="337"/>
        <v>0</v>
      </c>
      <c r="K1031" s="591">
        <f t="shared" si="333"/>
        <v>0</v>
      </c>
      <c r="L1031" s="591">
        <f t="shared" si="334"/>
        <v>0</v>
      </c>
      <c r="M1031" s="217">
        <f t="shared" si="328"/>
        <v>0</v>
      </c>
      <c r="N1031" s="171"/>
      <c r="R1031" s="591">
        <f>R1032</f>
        <v>190</v>
      </c>
      <c r="S1031" s="591">
        <f>S1032</f>
        <v>0</v>
      </c>
      <c r="T1031" s="217"/>
      <c r="U1031" s="498" t="e">
        <f>U1032</f>
        <v>#REF!</v>
      </c>
      <c r="V1031" s="498" t="e">
        <f>V1032</f>
        <v>#REF!</v>
      </c>
      <c r="W1031" s="203">
        <f t="shared" si="335"/>
        <v>0</v>
      </c>
      <c r="X1031" s="203">
        <f t="shared" si="336"/>
        <v>0</v>
      </c>
    </row>
    <row r="1032" spans="1:24" ht="18.75" hidden="1" customHeight="1" x14ac:dyDescent="0.2">
      <c r="A1032" s="494" t="s">
        <v>1397</v>
      </c>
      <c r="B1032" s="306" t="s">
        <v>180</v>
      </c>
      <c r="C1032" s="354" t="s">
        <v>8</v>
      </c>
      <c r="D1032" s="354" t="s">
        <v>606</v>
      </c>
      <c r="E1032" s="495">
        <v>7830282220</v>
      </c>
      <c r="F1032" s="450"/>
      <c r="G1032" s="498">
        <f t="shared" si="337"/>
        <v>0</v>
      </c>
      <c r="H1032" s="498">
        <f t="shared" si="337"/>
        <v>0</v>
      </c>
      <c r="I1032" s="591">
        <f t="shared" si="337"/>
        <v>0</v>
      </c>
      <c r="J1032" s="591">
        <f t="shared" si="337"/>
        <v>0</v>
      </c>
      <c r="K1032" s="591">
        <f t="shared" si="333"/>
        <v>0</v>
      </c>
      <c r="L1032" s="591">
        <f t="shared" si="334"/>
        <v>0</v>
      </c>
      <c r="M1032" s="217">
        <f t="shared" si="328"/>
        <v>0</v>
      </c>
      <c r="N1032" s="171"/>
      <c r="R1032" s="591">
        <f>R1033</f>
        <v>190</v>
      </c>
      <c r="S1032" s="591">
        <f>S1033</f>
        <v>0</v>
      </c>
      <c r="T1032" s="217"/>
      <c r="U1032" s="498" t="e">
        <f>U1033+U1034</f>
        <v>#REF!</v>
      </c>
      <c r="V1032" s="498" t="e">
        <f>V1033+V1034</f>
        <v>#REF!</v>
      </c>
      <c r="W1032" s="203">
        <f t="shared" si="335"/>
        <v>0</v>
      </c>
      <c r="X1032" s="203">
        <f t="shared" si="336"/>
        <v>0</v>
      </c>
    </row>
    <row r="1033" spans="1:24" ht="18.75" hidden="1" customHeight="1" x14ac:dyDescent="0.2">
      <c r="A1033" s="186" t="s">
        <v>1398</v>
      </c>
      <c r="B1033" s="243" t="s">
        <v>180</v>
      </c>
      <c r="C1033" s="353" t="s">
        <v>8</v>
      </c>
      <c r="D1033" s="353" t="s">
        <v>606</v>
      </c>
      <c r="E1033" s="369">
        <v>7830282220</v>
      </c>
      <c r="F1033" s="369">
        <v>622</v>
      </c>
      <c r="G1033" s="288"/>
      <c r="H1033" s="288"/>
      <c r="I1033" s="288"/>
      <c r="J1033" s="288"/>
      <c r="K1033" s="43">
        <f t="shared" si="333"/>
        <v>0</v>
      </c>
      <c r="L1033" s="43">
        <f t="shared" si="334"/>
        <v>0</v>
      </c>
      <c r="M1033" s="217">
        <f t="shared" si="328"/>
        <v>0</v>
      </c>
      <c r="N1033" s="171"/>
      <c r="R1033" s="288">
        <v>190</v>
      </c>
      <c r="S1033" s="288"/>
      <c r="T1033" s="217"/>
      <c r="U1033" s="288">
        <v>1000</v>
      </c>
      <c r="V1033" s="288">
        <v>0</v>
      </c>
      <c r="W1033" s="203">
        <f t="shared" si="335"/>
        <v>0</v>
      </c>
      <c r="X1033" s="203">
        <f t="shared" si="336"/>
        <v>0</v>
      </c>
    </row>
    <row r="1034" spans="1:24" ht="15" hidden="1" x14ac:dyDescent="0.2">
      <c r="A1034" s="541" t="s">
        <v>1448</v>
      </c>
      <c r="B1034" s="306" t="s">
        <v>180</v>
      </c>
      <c r="C1034" s="354" t="s">
        <v>8</v>
      </c>
      <c r="D1034" s="354" t="s">
        <v>606</v>
      </c>
      <c r="E1034" s="582" t="s">
        <v>1445</v>
      </c>
      <c r="F1034" s="450"/>
      <c r="G1034" s="498">
        <f t="shared" ref="G1034:J1036" si="338">G1035</f>
        <v>0</v>
      </c>
      <c r="H1034" s="498">
        <f t="shared" si="338"/>
        <v>0</v>
      </c>
      <c r="I1034" s="591">
        <f t="shared" si="338"/>
        <v>0</v>
      </c>
      <c r="J1034" s="591">
        <f t="shared" si="338"/>
        <v>0</v>
      </c>
      <c r="K1034" s="591">
        <f t="shared" si="333"/>
        <v>0</v>
      </c>
      <c r="L1034" s="591">
        <f t="shared" si="334"/>
        <v>0</v>
      </c>
      <c r="M1034" s="217">
        <f t="shared" si="328"/>
        <v>0</v>
      </c>
      <c r="N1034" s="171"/>
      <c r="R1034" s="591">
        <f t="shared" ref="R1034:S1036" si="339">R1035</f>
        <v>17799.510999999999</v>
      </c>
      <c r="S1034" s="591">
        <f t="shared" si="339"/>
        <v>17094.599999999999</v>
      </c>
      <c r="T1034" s="217"/>
      <c r="U1034" s="498" t="e">
        <f>U1037+#REF!</f>
        <v>#REF!</v>
      </c>
      <c r="V1034" s="498" t="e">
        <f>V1037+#REF!</f>
        <v>#REF!</v>
      </c>
      <c r="W1034" s="203">
        <f t="shared" si="331"/>
        <v>0</v>
      </c>
      <c r="X1034" s="203">
        <f t="shared" si="332"/>
        <v>0</v>
      </c>
    </row>
    <row r="1035" spans="1:24" ht="15" hidden="1" x14ac:dyDescent="0.2">
      <c r="A1035" s="580" t="s">
        <v>1449</v>
      </c>
      <c r="B1035" s="306" t="s">
        <v>180</v>
      </c>
      <c r="C1035" s="354" t="s">
        <v>8</v>
      </c>
      <c r="D1035" s="354" t="s">
        <v>606</v>
      </c>
      <c r="E1035" s="542" t="s">
        <v>1446</v>
      </c>
      <c r="F1035" s="540"/>
      <c r="G1035" s="498">
        <f t="shared" si="338"/>
        <v>0</v>
      </c>
      <c r="H1035" s="498">
        <f t="shared" si="338"/>
        <v>0</v>
      </c>
      <c r="I1035" s="591">
        <f t="shared" si="338"/>
        <v>0</v>
      </c>
      <c r="J1035" s="591">
        <f t="shared" si="338"/>
        <v>0</v>
      </c>
      <c r="K1035" s="591">
        <f t="shared" si="333"/>
        <v>0</v>
      </c>
      <c r="L1035" s="591">
        <f t="shared" si="334"/>
        <v>0</v>
      </c>
      <c r="M1035" s="217"/>
      <c r="N1035" s="171"/>
      <c r="R1035" s="591">
        <f t="shared" si="339"/>
        <v>17799.510999999999</v>
      </c>
      <c r="S1035" s="591">
        <f t="shared" si="339"/>
        <v>17094.599999999999</v>
      </c>
      <c r="T1035" s="217"/>
      <c r="U1035" s="498"/>
      <c r="V1035" s="498"/>
      <c r="W1035" s="203"/>
      <c r="X1035" s="203"/>
    </row>
    <row r="1036" spans="1:24" ht="15" hidden="1" x14ac:dyDescent="0.2">
      <c r="A1036" s="541" t="s">
        <v>1181</v>
      </c>
      <c r="B1036" s="306" t="s">
        <v>180</v>
      </c>
      <c r="C1036" s="354" t="s">
        <v>8</v>
      </c>
      <c r="D1036" s="354" t="s">
        <v>606</v>
      </c>
      <c r="E1036" s="582" t="s">
        <v>1447</v>
      </c>
      <c r="F1036" s="540"/>
      <c r="G1036" s="498">
        <f t="shared" si="338"/>
        <v>0</v>
      </c>
      <c r="H1036" s="498">
        <f t="shared" si="338"/>
        <v>0</v>
      </c>
      <c r="I1036" s="591">
        <f t="shared" si="338"/>
        <v>0</v>
      </c>
      <c r="J1036" s="591">
        <f t="shared" si="338"/>
        <v>0</v>
      </c>
      <c r="K1036" s="591">
        <f t="shared" si="333"/>
        <v>0</v>
      </c>
      <c r="L1036" s="591">
        <f t="shared" si="334"/>
        <v>0</v>
      </c>
      <c r="M1036" s="217"/>
      <c r="N1036" s="171"/>
      <c r="R1036" s="591">
        <f t="shared" si="339"/>
        <v>17799.510999999999</v>
      </c>
      <c r="S1036" s="591">
        <f t="shared" si="339"/>
        <v>17094.599999999999</v>
      </c>
      <c r="T1036" s="217"/>
      <c r="U1036" s="498"/>
      <c r="V1036" s="498"/>
      <c r="W1036" s="203"/>
      <c r="X1036" s="203"/>
    </row>
    <row r="1037" spans="1:24" ht="15" hidden="1" x14ac:dyDescent="0.2">
      <c r="A1037" s="186" t="s">
        <v>1398</v>
      </c>
      <c r="B1037" s="243" t="s">
        <v>180</v>
      </c>
      <c r="C1037" s="353" t="s">
        <v>8</v>
      </c>
      <c r="D1037" s="353" t="s">
        <v>606</v>
      </c>
      <c r="E1037" s="369" t="s">
        <v>1447</v>
      </c>
      <c r="F1037" s="369">
        <v>622</v>
      </c>
      <c r="G1037" s="288"/>
      <c r="H1037" s="288"/>
      <c r="I1037" s="288"/>
      <c r="J1037" s="288"/>
      <c r="K1037" s="43">
        <f t="shared" si="333"/>
        <v>0</v>
      </c>
      <c r="L1037" s="43">
        <f t="shared" si="334"/>
        <v>0</v>
      </c>
      <c r="M1037" s="217">
        <f t="shared" si="328"/>
        <v>0</v>
      </c>
      <c r="N1037" s="171"/>
      <c r="R1037" s="288">
        <v>17799.510999999999</v>
      </c>
      <c r="S1037" s="288">
        <v>17094.599999999999</v>
      </c>
      <c r="T1037" s="217"/>
      <c r="U1037" s="288"/>
      <c r="V1037" s="288"/>
      <c r="W1037" s="203">
        <f t="shared" si="331"/>
        <v>0</v>
      </c>
      <c r="X1037" s="203">
        <f t="shared" si="332"/>
        <v>0</v>
      </c>
    </row>
    <row r="1038" spans="1:24" ht="25.5" hidden="1" x14ac:dyDescent="0.2">
      <c r="A1038" s="626" t="s">
        <v>1511</v>
      </c>
      <c r="B1038" s="306" t="s">
        <v>180</v>
      </c>
      <c r="C1038" s="354" t="s">
        <v>8</v>
      </c>
      <c r="D1038" s="354" t="s">
        <v>606</v>
      </c>
      <c r="E1038" s="599" t="s">
        <v>1505</v>
      </c>
      <c r="F1038" s="582"/>
      <c r="G1038" s="591">
        <f>G1039+G1043+G1048</f>
        <v>0</v>
      </c>
      <c r="H1038" s="591">
        <f>H1039+H1043+H1048</f>
        <v>0</v>
      </c>
      <c r="I1038" s="591">
        <f>I1039+I1043+I1048</f>
        <v>0</v>
      </c>
      <c r="J1038" s="591">
        <f>J1039+J1043+J1048</f>
        <v>0</v>
      </c>
      <c r="K1038" s="591">
        <f t="shared" si="333"/>
        <v>0</v>
      </c>
      <c r="L1038" s="591">
        <f t="shared" si="334"/>
        <v>0</v>
      </c>
      <c r="M1038" s="217"/>
      <c r="N1038" s="171"/>
      <c r="R1038" s="591">
        <f>R1039+R1043+R1048</f>
        <v>555</v>
      </c>
      <c r="S1038" s="591">
        <f>S1039+S1043+S1048</f>
        <v>0</v>
      </c>
      <c r="T1038" s="217"/>
      <c r="U1038" s="288"/>
      <c r="V1038" s="288"/>
      <c r="W1038" s="203"/>
      <c r="X1038" s="203"/>
    </row>
    <row r="1039" spans="1:24" ht="15" hidden="1" x14ac:dyDescent="0.2">
      <c r="A1039" s="626" t="s">
        <v>1512</v>
      </c>
      <c r="B1039" s="306" t="s">
        <v>180</v>
      </c>
      <c r="C1039" s="354" t="s">
        <v>8</v>
      </c>
      <c r="D1039" s="354" t="s">
        <v>606</v>
      </c>
      <c r="E1039" s="599" t="s">
        <v>1506</v>
      </c>
      <c r="F1039" s="582"/>
      <c r="G1039" s="591">
        <f>G1040</f>
        <v>0</v>
      </c>
      <c r="H1039" s="591">
        <f>H1040</f>
        <v>0</v>
      </c>
      <c r="I1039" s="591">
        <f>I1040</f>
        <v>0</v>
      </c>
      <c r="J1039" s="591">
        <f>J1040</f>
        <v>0</v>
      </c>
      <c r="K1039" s="591">
        <f t="shared" si="333"/>
        <v>0</v>
      </c>
      <c r="L1039" s="591">
        <f t="shared" si="334"/>
        <v>0</v>
      </c>
      <c r="M1039" s="217"/>
      <c r="N1039" s="171"/>
      <c r="R1039" s="591">
        <f>R1040</f>
        <v>0</v>
      </c>
      <c r="S1039" s="591">
        <f>S1040</f>
        <v>0</v>
      </c>
      <c r="T1039" s="217"/>
      <c r="U1039" s="288"/>
      <c r="V1039" s="288"/>
      <c r="W1039" s="203"/>
      <c r="X1039" s="203"/>
    </row>
    <row r="1040" spans="1:24" ht="15" hidden="1" x14ac:dyDescent="0.2">
      <c r="A1040" s="626" t="s">
        <v>1513</v>
      </c>
      <c r="B1040" s="306" t="s">
        <v>180</v>
      </c>
      <c r="C1040" s="354" t="s">
        <v>8</v>
      </c>
      <c r="D1040" s="354" t="s">
        <v>606</v>
      </c>
      <c r="E1040" s="599" t="s">
        <v>1507</v>
      </c>
      <c r="F1040" s="582"/>
      <c r="G1040" s="591">
        <f>G1041+G1042</f>
        <v>0</v>
      </c>
      <c r="H1040" s="591">
        <f>H1041+H1042</f>
        <v>0</v>
      </c>
      <c r="I1040" s="591">
        <f>I1041+I1042</f>
        <v>0</v>
      </c>
      <c r="J1040" s="591">
        <f>J1041+J1042</f>
        <v>0</v>
      </c>
      <c r="K1040" s="591">
        <f t="shared" si="333"/>
        <v>0</v>
      </c>
      <c r="L1040" s="591">
        <f t="shared" si="334"/>
        <v>0</v>
      </c>
      <c r="M1040" s="217"/>
      <c r="N1040" s="171"/>
      <c r="R1040" s="591">
        <f>R1041</f>
        <v>0</v>
      </c>
      <c r="S1040" s="591">
        <f>S1041</f>
        <v>0</v>
      </c>
      <c r="T1040" s="217"/>
      <c r="U1040" s="288"/>
      <c r="V1040" s="288"/>
      <c r="W1040" s="203"/>
      <c r="X1040" s="203"/>
    </row>
    <row r="1041" spans="1:24" ht="25.5" hidden="1" x14ac:dyDescent="0.2">
      <c r="A1041" s="186" t="s">
        <v>1539</v>
      </c>
      <c r="B1041" s="243" t="s">
        <v>180</v>
      </c>
      <c r="C1041" s="353" t="s">
        <v>8</v>
      </c>
      <c r="D1041" s="353" t="s">
        <v>606</v>
      </c>
      <c r="E1041" s="386" t="s">
        <v>1507</v>
      </c>
      <c r="F1041" s="369">
        <v>611</v>
      </c>
      <c r="G1041" s="288">
        <v>0</v>
      </c>
      <c r="H1041" s="288"/>
      <c r="I1041" s="288">
        <v>0</v>
      </c>
      <c r="J1041" s="288"/>
      <c r="K1041" s="43">
        <f t="shared" si="333"/>
        <v>0</v>
      </c>
      <c r="L1041" s="43">
        <f t="shared" si="334"/>
        <v>0</v>
      </c>
      <c r="M1041" s="217"/>
      <c r="N1041" s="171"/>
      <c r="R1041" s="288">
        <v>0</v>
      </c>
      <c r="S1041" s="288"/>
      <c r="T1041" s="217"/>
      <c r="U1041" s="288"/>
      <c r="V1041" s="288"/>
      <c r="W1041" s="203"/>
      <c r="X1041" s="203"/>
    </row>
    <row r="1042" spans="1:24" ht="15" hidden="1" x14ac:dyDescent="0.2">
      <c r="A1042" s="186" t="s">
        <v>126</v>
      </c>
      <c r="B1042" s="243" t="s">
        <v>180</v>
      </c>
      <c r="C1042" s="353" t="s">
        <v>8</v>
      </c>
      <c r="D1042" s="353" t="s">
        <v>606</v>
      </c>
      <c r="E1042" s="386" t="s">
        <v>1507</v>
      </c>
      <c r="F1042" s="369">
        <v>622</v>
      </c>
      <c r="G1042" s="288"/>
      <c r="H1042" s="288"/>
      <c r="I1042" s="288"/>
      <c r="J1042" s="288"/>
      <c r="K1042" s="43">
        <f t="shared" si="333"/>
        <v>0</v>
      </c>
      <c r="L1042" s="43">
        <f t="shared" si="334"/>
        <v>0</v>
      </c>
      <c r="M1042" s="217"/>
      <c r="N1042" s="171"/>
      <c r="R1042" s="288"/>
      <c r="S1042" s="288"/>
      <c r="T1042" s="217"/>
      <c r="U1042" s="288"/>
      <c r="V1042" s="288"/>
      <c r="W1042" s="203"/>
      <c r="X1042" s="203"/>
    </row>
    <row r="1043" spans="1:24" ht="15" hidden="1" x14ac:dyDescent="0.2">
      <c r="A1043" s="626" t="s">
        <v>1775</v>
      </c>
      <c r="B1043" s="306" t="s">
        <v>180</v>
      </c>
      <c r="C1043" s="354" t="s">
        <v>8</v>
      </c>
      <c r="D1043" s="354" t="s">
        <v>606</v>
      </c>
      <c r="E1043" s="599" t="s">
        <v>1533</v>
      </c>
      <c r="F1043" s="582"/>
      <c r="G1043" s="591">
        <f>G1044+G1046</f>
        <v>0</v>
      </c>
      <c r="H1043" s="591">
        <f>H1044+H1046</f>
        <v>0</v>
      </c>
      <c r="I1043" s="591">
        <f>I1044+I1046</f>
        <v>0</v>
      </c>
      <c r="J1043" s="591">
        <f>J1044+J1046</f>
        <v>0</v>
      </c>
      <c r="K1043" s="591">
        <f t="shared" si="333"/>
        <v>0</v>
      </c>
      <c r="L1043" s="591">
        <f t="shared" si="334"/>
        <v>0</v>
      </c>
      <c r="M1043" s="217"/>
      <c r="N1043" s="171"/>
      <c r="R1043" s="591">
        <f>R1044+R1046</f>
        <v>510</v>
      </c>
      <c r="S1043" s="591">
        <f>S1044+S1046</f>
        <v>0</v>
      </c>
      <c r="T1043" s="217"/>
      <c r="U1043" s="288"/>
      <c r="V1043" s="288"/>
      <c r="W1043" s="203"/>
      <c r="X1043" s="203"/>
    </row>
    <row r="1044" spans="1:24" ht="15" hidden="1" x14ac:dyDescent="0.2">
      <c r="A1044" s="581" t="s">
        <v>1538</v>
      </c>
      <c r="B1044" s="306" t="s">
        <v>180</v>
      </c>
      <c r="C1044" s="354" t="s">
        <v>8</v>
      </c>
      <c r="D1044" s="354" t="s">
        <v>606</v>
      </c>
      <c r="E1044" s="599" t="s">
        <v>1534</v>
      </c>
      <c r="F1044" s="582"/>
      <c r="G1044" s="591">
        <f>G1045</f>
        <v>0</v>
      </c>
      <c r="H1044" s="591">
        <f>H1045</f>
        <v>0</v>
      </c>
      <c r="I1044" s="591">
        <f>I1045</f>
        <v>0</v>
      </c>
      <c r="J1044" s="591">
        <f>J1045</f>
        <v>0</v>
      </c>
      <c r="K1044" s="591">
        <f t="shared" si="333"/>
        <v>0</v>
      </c>
      <c r="L1044" s="591">
        <f t="shared" si="334"/>
        <v>0</v>
      </c>
      <c r="M1044" s="217"/>
      <c r="N1044" s="171"/>
      <c r="R1044" s="591">
        <f>R1045</f>
        <v>0</v>
      </c>
      <c r="S1044" s="591">
        <f>S1045</f>
        <v>0</v>
      </c>
      <c r="T1044" s="217"/>
      <c r="U1044" s="288"/>
      <c r="V1044" s="288"/>
      <c r="W1044" s="203"/>
      <c r="X1044" s="203"/>
    </row>
    <row r="1045" spans="1:24" ht="15" hidden="1" x14ac:dyDescent="0.2">
      <c r="A1045" s="186" t="s">
        <v>126</v>
      </c>
      <c r="B1045" s="243" t="s">
        <v>180</v>
      </c>
      <c r="C1045" s="353" t="s">
        <v>8</v>
      </c>
      <c r="D1045" s="353" t="s">
        <v>606</v>
      </c>
      <c r="E1045" s="386" t="s">
        <v>1534</v>
      </c>
      <c r="F1045" s="369">
        <v>622</v>
      </c>
      <c r="G1045" s="288"/>
      <c r="H1045" s="288"/>
      <c r="I1045" s="288"/>
      <c r="J1045" s="288"/>
      <c r="K1045" s="43">
        <f t="shared" si="333"/>
        <v>0</v>
      </c>
      <c r="L1045" s="43">
        <f t="shared" si="334"/>
        <v>0</v>
      </c>
      <c r="M1045" s="217"/>
      <c r="N1045" s="171"/>
      <c r="R1045" s="288">
        <v>0</v>
      </c>
      <c r="S1045" s="288"/>
      <c r="T1045" s="217"/>
      <c r="U1045" s="288"/>
      <c r="V1045" s="288"/>
      <c r="W1045" s="203"/>
      <c r="X1045" s="203"/>
    </row>
    <row r="1046" spans="1:24" ht="15" hidden="1" x14ac:dyDescent="0.2">
      <c r="A1046" s="133" t="s">
        <v>1655</v>
      </c>
      <c r="B1046" s="388" t="s">
        <v>180</v>
      </c>
      <c r="C1046" s="389" t="s">
        <v>8</v>
      </c>
      <c r="D1046" s="389" t="s">
        <v>606</v>
      </c>
      <c r="E1046" s="515" t="s">
        <v>1660</v>
      </c>
      <c r="F1046" s="390"/>
      <c r="G1046" s="391">
        <f>G1047</f>
        <v>0</v>
      </c>
      <c r="H1046" s="391">
        <f>H1047</f>
        <v>0</v>
      </c>
      <c r="I1046" s="391">
        <f>I1047</f>
        <v>0</v>
      </c>
      <c r="J1046" s="391">
        <f>J1047</f>
        <v>0</v>
      </c>
      <c r="K1046" s="391">
        <f t="shared" si="333"/>
        <v>0</v>
      </c>
      <c r="L1046" s="391">
        <f t="shared" si="334"/>
        <v>0</v>
      </c>
      <c r="M1046" s="217"/>
      <c r="N1046" s="171"/>
      <c r="R1046" s="391">
        <f>R1047</f>
        <v>510</v>
      </c>
      <c r="S1046" s="391">
        <f>S1047</f>
        <v>0</v>
      </c>
      <c r="T1046" s="217"/>
      <c r="U1046" s="288"/>
      <c r="V1046" s="288"/>
      <c r="W1046" s="203"/>
      <c r="X1046" s="203"/>
    </row>
    <row r="1047" spans="1:24" ht="15" hidden="1" x14ac:dyDescent="0.2">
      <c r="A1047" s="186" t="s">
        <v>126</v>
      </c>
      <c r="B1047" s="243" t="s">
        <v>180</v>
      </c>
      <c r="C1047" s="353" t="s">
        <v>8</v>
      </c>
      <c r="D1047" s="353" t="s">
        <v>606</v>
      </c>
      <c r="E1047" s="386" t="s">
        <v>1660</v>
      </c>
      <c r="F1047" s="369">
        <v>622</v>
      </c>
      <c r="G1047" s="288">
        <v>0</v>
      </c>
      <c r="H1047" s="288"/>
      <c r="I1047" s="288">
        <v>0</v>
      </c>
      <c r="J1047" s="288"/>
      <c r="K1047" s="43">
        <f t="shared" si="333"/>
        <v>0</v>
      </c>
      <c r="L1047" s="43">
        <f t="shared" si="334"/>
        <v>0</v>
      </c>
      <c r="M1047" s="217"/>
      <c r="N1047" s="171"/>
      <c r="R1047" s="288">
        <v>510</v>
      </c>
      <c r="S1047" s="288"/>
      <c r="T1047" s="217"/>
      <c r="U1047" s="288"/>
      <c r="V1047" s="288"/>
      <c r="W1047" s="203"/>
      <c r="X1047" s="203"/>
    </row>
    <row r="1048" spans="1:24" ht="15" hidden="1" x14ac:dyDescent="0.2">
      <c r="A1048" s="626" t="s">
        <v>1515</v>
      </c>
      <c r="B1048" s="306" t="s">
        <v>180</v>
      </c>
      <c r="C1048" s="354" t="s">
        <v>8</v>
      </c>
      <c r="D1048" s="354" t="s">
        <v>606</v>
      </c>
      <c r="E1048" s="599" t="s">
        <v>1508</v>
      </c>
      <c r="F1048" s="582"/>
      <c r="G1048" s="591">
        <f>G1049+G1052</f>
        <v>0</v>
      </c>
      <c r="H1048" s="591">
        <f>H1049+H1052</f>
        <v>0</v>
      </c>
      <c r="I1048" s="591">
        <f>I1049+I1052</f>
        <v>0</v>
      </c>
      <c r="J1048" s="591">
        <f>J1049+J1052</f>
        <v>0</v>
      </c>
      <c r="K1048" s="591">
        <f t="shared" si="333"/>
        <v>0</v>
      </c>
      <c r="L1048" s="591">
        <f t="shared" si="334"/>
        <v>0</v>
      </c>
      <c r="M1048" s="217"/>
      <c r="N1048" s="171"/>
      <c r="R1048" s="591">
        <f>R1049</f>
        <v>45</v>
      </c>
      <c r="S1048" s="591">
        <f>S1049</f>
        <v>0</v>
      </c>
      <c r="T1048" s="217"/>
      <c r="U1048" s="288"/>
      <c r="V1048" s="288"/>
      <c r="W1048" s="203"/>
      <c r="X1048" s="203"/>
    </row>
    <row r="1049" spans="1:24" ht="15" hidden="1" x14ac:dyDescent="0.2">
      <c r="A1049" s="626" t="s">
        <v>1776</v>
      </c>
      <c r="B1049" s="306" t="s">
        <v>180</v>
      </c>
      <c r="C1049" s="354" t="s">
        <v>8</v>
      </c>
      <c r="D1049" s="354" t="s">
        <v>606</v>
      </c>
      <c r="E1049" s="599" t="s">
        <v>1509</v>
      </c>
      <c r="F1049" s="582"/>
      <c r="G1049" s="591">
        <f>G1050+G1051</f>
        <v>0</v>
      </c>
      <c r="H1049" s="591">
        <f>H1050+H1051</f>
        <v>0</v>
      </c>
      <c r="I1049" s="591">
        <f>I1050+I1051</f>
        <v>0</v>
      </c>
      <c r="J1049" s="591">
        <f>J1050+J1051</f>
        <v>0</v>
      </c>
      <c r="K1049" s="591">
        <f t="shared" si="333"/>
        <v>0</v>
      </c>
      <c r="L1049" s="591">
        <f t="shared" si="334"/>
        <v>0</v>
      </c>
      <c r="M1049" s="217"/>
      <c r="N1049" s="171"/>
      <c r="R1049" s="591">
        <f>R1050+R1051</f>
        <v>45</v>
      </c>
      <c r="S1049" s="591">
        <f>S1050+S1051</f>
        <v>0</v>
      </c>
      <c r="T1049" s="217"/>
      <c r="U1049" s="288"/>
      <c r="V1049" s="288"/>
      <c r="W1049" s="203"/>
      <c r="X1049" s="203"/>
    </row>
    <row r="1050" spans="1:24" ht="25.5" hidden="1" x14ac:dyDescent="0.2">
      <c r="A1050" s="186" t="s">
        <v>648</v>
      </c>
      <c r="B1050" s="243" t="s">
        <v>180</v>
      </c>
      <c r="C1050" s="353" t="s">
        <v>8</v>
      </c>
      <c r="D1050" s="353" t="s">
        <v>606</v>
      </c>
      <c r="E1050" s="386" t="s">
        <v>1509</v>
      </c>
      <c r="F1050" s="369">
        <v>611</v>
      </c>
      <c r="G1050" s="288">
        <v>0</v>
      </c>
      <c r="H1050" s="288"/>
      <c r="I1050" s="288">
        <v>0</v>
      </c>
      <c r="J1050" s="288"/>
      <c r="K1050" s="43">
        <f t="shared" si="333"/>
        <v>0</v>
      </c>
      <c r="L1050" s="43">
        <f t="shared" si="334"/>
        <v>0</v>
      </c>
      <c r="M1050" s="217"/>
      <c r="N1050" s="171"/>
      <c r="R1050" s="288">
        <v>0</v>
      </c>
      <c r="S1050" s="288"/>
      <c r="T1050" s="217"/>
      <c r="U1050" s="288"/>
      <c r="V1050" s="288"/>
      <c r="W1050" s="203"/>
      <c r="X1050" s="203"/>
    </row>
    <row r="1051" spans="1:24" ht="15" hidden="1" x14ac:dyDescent="0.2">
      <c r="A1051" s="186" t="s">
        <v>126</v>
      </c>
      <c r="B1051" s="243" t="s">
        <v>180</v>
      </c>
      <c r="C1051" s="353" t="s">
        <v>8</v>
      </c>
      <c r="D1051" s="353" t="s">
        <v>606</v>
      </c>
      <c r="E1051" s="386" t="s">
        <v>1509</v>
      </c>
      <c r="F1051" s="369">
        <v>622</v>
      </c>
      <c r="G1051" s="288"/>
      <c r="H1051" s="288"/>
      <c r="I1051" s="288"/>
      <c r="J1051" s="288"/>
      <c r="K1051" s="43">
        <f t="shared" si="333"/>
        <v>0</v>
      </c>
      <c r="L1051" s="43">
        <f t="shared" si="334"/>
        <v>0</v>
      </c>
      <c r="M1051" s="217"/>
      <c r="N1051" s="171"/>
      <c r="R1051" s="288">
        <v>45</v>
      </c>
      <c r="S1051" s="288"/>
      <c r="T1051" s="217"/>
      <c r="U1051" s="288"/>
      <c r="V1051" s="288"/>
      <c r="W1051" s="203"/>
      <c r="X1051" s="203"/>
    </row>
    <row r="1052" spans="1:24" ht="15" hidden="1" x14ac:dyDescent="0.2">
      <c r="A1052" s="133" t="s">
        <v>1655</v>
      </c>
      <c r="B1052" s="388" t="s">
        <v>180</v>
      </c>
      <c r="C1052" s="389" t="s">
        <v>8</v>
      </c>
      <c r="D1052" s="389" t="s">
        <v>606</v>
      </c>
      <c r="E1052" s="515" t="s">
        <v>1657</v>
      </c>
      <c r="F1052" s="390"/>
      <c r="G1052" s="391">
        <f>G1053</f>
        <v>0</v>
      </c>
      <c r="H1052" s="391">
        <f>H1053</f>
        <v>0</v>
      </c>
      <c r="I1052" s="391">
        <f>I1053</f>
        <v>0</v>
      </c>
      <c r="J1052" s="391">
        <f>J1053</f>
        <v>0</v>
      </c>
      <c r="K1052" s="391">
        <f t="shared" si="333"/>
        <v>0</v>
      </c>
      <c r="L1052" s="391">
        <f t="shared" si="334"/>
        <v>0</v>
      </c>
      <c r="M1052" s="217"/>
      <c r="N1052" s="171"/>
      <c r="R1052" s="288"/>
      <c r="S1052" s="288"/>
      <c r="T1052" s="217"/>
      <c r="U1052" s="288"/>
      <c r="V1052" s="288"/>
      <c r="W1052" s="203"/>
      <c r="X1052" s="203"/>
    </row>
    <row r="1053" spans="1:24" ht="15" hidden="1" x14ac:dyDescent="0.2">
      <c r="A1053" s="186" t="s">
        <v>126</v>
      </c>
      <c r="B1053" s="243" t="s">
        <v>180</v>
      </c>
      <c r="C1053" s="353" t="s">
        <v>8</v>
      </c>
      <c r="D1053" s="353" t="s">
        <v>606</v>
      </c>
      <c r="E1053" s="386" t="s">
        <v>1657</v>
      </c>
      <c r="F1053" s="369">
        <v>622</v>
      </c>
      <c r="G1053" s="288"/>
      <c r="H1053" s="288"/>
      <c r="I1053" s="288"/>
      <c r="J1053" s="288"/>
      <c r="K1053" s="43">
        <f t="shared" si="333"/>
        <v>0</v>
      </c>
      <c r="L1053" s="43">
        <f t="shared" si="334"/>
        <v>0</v>
      </c>
      <c r="M1053" s="217"/>
      <c r="N1053" s="171"/>
      <c r="R1053" s="288"/>
      <c r="S1053" s="288"/>
      <c r="T1053" s="217"/>
      <c r="U1053" s="288"/>
      <c r="V1053" s="288"/>
      <c r="W1053" s="203"/>
      <c r="X1053" s="203"/>
    </row>
    <row r="1054" spans="1:24" ht="25.5" x14ac:dyDescent="0.2">
      <c r="A1054" s="741" t="s">
        <v>1297</v>
      </c>
      <c r="B1054" s="388" t="s">
        <v>180</v>
      </c>
      <c r="C1054" s="389" t="s">
        <v>8</v>
      </c>
      <c r="D1054" s="389" t="s">
        <v>606</v>
      </c>
      <c r="E1054" s="515">
        <v>8200000000</v>
      </c>
      <c r="F1054" s="390"/>
      <c r="G1054" s="391">
        <f>G1055</f>
        <v>60</v>
      </c>
      <c r="H1054" s="391">
        <f t="shared" ref="H1054:L1056" si="340">H1055</f>
        <v>0</v>
      </c>
      <c r="I1054" s="391">
        <f t="shared" si="340"/>
        <v>60</v>
      </c>
      <c r="J1054" s="391">
        <f t="shared" si="340"/>
        <v>0</v>
      </c>
      <c r="K1054" s="391">
        <f t="shared" si="340"/>
        <v>0</v>
      </c>
      <c r="L1054" s="391">
        <f t="shared" si="340"/>
        <v>0</v>
      </c>
      <c r="M1054" s="217"/>
      <c r="N1054" s="171"/>
      <c r="R1054" s="288"/>
      <c r="S1054" s="288"/>
      <c r="T1054" s="217"/>
      <c r="U1054" s="288"/>
      <c r="V1054" s="288"/>
      <c r="W1054" s="203"/>
      <c r="X1054" s="203"/>
    </row>
    <row r="1055" spans="1:24" ht="25.5" x14ac:dyDescent="0.2">
      <c r="A1055" s="741" t="s">
        <v>518</v>
      </c>
      <c r="B1055" s="388" t="s">
        <v>180</v>
      </c>
      <c r="C1055" s="389" t="s">
        <v>8</v>
      </c>
      <c r="D1055" s="389" t="s">
        <v>606</v>
      </c>
      <c r="E1055" s="515">
        <v>8200500000</v>
      </c>
      <c r="F1055" s="390"/>
      <c r="G1055" s="391">
        <f>G1056</f>
        <v>60</v>
      </c>
      <c r="H1055" s="391">
        <f t="shared" si="340"/>
        <v>0</v>
      </c>
      <c r="I1055" s="391">
        <f t="shared" si="340"/>
        <v>60</v>
      </c>
      <c r="J1055" s="391">
        <f t="shared" si="340"/>
        <v>0</v>
      </c>
      <c r="K1055" s="391">
        <f t="shared" si="340"/>
        <v>0</v>
      </c>
      <c r="L1055" s="391">
        <f t="shared" si="340"/>
        <v>0</v>
      </c>
      <c r="M1055" s="217"/>
      <c r="N1055" s="171"/>
      <c r="R1055" s="288"/>
      <c r="S1055" s="288"/>
      <c r="T1055" s="217"/>
      <c r="U1055" s="288"/>
      <c r="V1055" s="288"/>
      <c r="W1055" s="203"/>
      <c r="X1055" s="203"/>
    </row>
    <row r="1056" spans="1:24" ht="15" x14ac:dyDescent="0.2">
      <c r="A1056" s="741" t="s">
        <v>734</v>
      </c>
      <c r="B1056" s="388" t="s">
        <v>180</v>
      </c>
      <c r="C1056" s="389" t="s">
        <v>8</v>
      </c>
      <c r="D1056" s="389" t="s">
        <v>606</v>
      </c>
      <c r="E1056" s="515">
        <v>8200582460</v>
      </c>
      <c r="F1056" s="390"/>
      <c r="G1056" s="391">
        <f>G1057</f>
        <v>60</v>
      </c>
      <c r="H1056" s="391">
        <f t="shared" si="340"/>
        <v>0</v>
      </c>
      <c r="I1056" s="391">
        <f t="shared" si="340"/>
        <v>60</v>
      </c>
      <c r="J1056" s="391">
        <f t="shared" si="340"/>
        <v>0</v>
      </c>
      <c r="K1056" s="391">
        <f t="shared" si="340"/>
        <v>0</v>
      </c>
      <c r="L1056" s="391">
        <f t="shared" si="340"/>
        <v>0</v>
      </c>
      <c r="M1056" s="217"/>
      <c r="N1056" s="171"/>
      <c r="R1056" s="288"/>
      <c r="S1056" s="288"/>
      <c r="T1056" s="217"/>
      <c r="U1056" s="288"/>
      <c r="V1056" s="288"/>
      <c r="W1056" s="203"/>
      <c r="X1056" s="203"/>
    </row>
    <row r="1057" spans="1:24" ht="25.5" x14ac:dyDescent="0.2">
      <c r="A1057" s="744" t="s">
        <v>648</v>
      </c>
      <c r="B1057" s="243" t="s">
        <v>180</v>
      </c>
      <c r="C1057" s="353" t="s">
        <v>8</v>
      </c>
      <c r="D1057" s="353" t="s">
        <v>606</v>
      </c>
      <c r="E1057" s="386">
        <v>8200582460</v>
      </c>
      <c r="F1057" s="369">
        <v>611</v>
      </c>
      <c r="G1057" s="288">
        <v>60</v>
      </c>
      <c r="H1057" s="288"/>
      <c r="I1057" s="288">
        <v>60</v>
      </c>
      <c r="J1057" s="288"/>
      <c r="K1057" s="43">
        <f t="shared" ref="K1057" si="341">I1057-G1057</f>
        <v>0</v>
      </c>
      <c r="L1057" s="43">
        <f t="shared" ref="L1057" si="342">J1057-H1057</f>
        <v>0</v>
      </c>
      <c r="M1057" s="217"/>
      <c r="N1057" s="171"/>
      <c r="R1057" s="288"/>
      <c r="S1057" s="288"/>
      <c r="T1057" s="217"/>
      <c r="U1057" s="288"/>
      <c r="V1057" s="288"/>
      <c r="W1057" s="203"/>
      <c r="X1057" s="203"/>
    </row>
    <row r="1058" spans="1:24" s="307" customFormat="1" ht="15" hidden="1" x14ac:dyDescent="0.2">
      <c r="A1058" s="451" t="s">
        <v>65</v>
      </c>
      <c r="B1058" s="306" t="s">
        <v>180</v>
      </c>
      <c r="C1058" s="354" t="s">
        <v>8</v>
      </c>
      <c r="D1058" s="354" t="s">
        <v>606</v>
      </c>
      <c r="E1058" s="450" t="s">
        <v>312</v>
      </c>
      <c r="F1058" s="450"/>
      <c r="G1058" s="498">
        <f>G1059+G1061</f>
        <v>0</v>
      </c>
      <c r="H1058" s="498">
        <f>H1059+H1061</f>
        <v>0</v>
      </c>
      <c r="I1058" s="591">
        <f>I1059+I1061</f>
        <v>0</v>
      </c>
      <c r="J1058" s="591">
        <f>J1059+J1061</f>
        <v>0</v>
      </c>
      <c r="K1058" s="591">
        <f t="shared" si="333"/>
        <v>0</v>
      </c>
      <c r="L1058" s="591">
        <f t="shared" si="334"/>
        <v>0</v>
      </c>
      <c r="M1058" s="217">
        <f t="shared" si="328"/>
        <v>0</v>
      </c>
      <c r="N1058" s="308"/>
      <c r="R1058" s="591">
        <f>R1059+R1061</f>
        <v>0</v>
      </c>
      <c r="S1058" s="591">
        <f>S1059+S1061</f>
        <v>0</v>
      </c>
      <c r="T1058" s="309">
        <f t="shared" ref="T1058:T1077" si="343">I1058-G1058</f>
        <v>0</v>
      </c>
      <c r="U1058" s="498">
        <f>U1059+U1061</f>
        <v>52.5</v>
      </c>
      <c r="V1058" s="498">
        <f>V1059+V1061</f>
        <v>0</v>
      </c>
      <c r="W1058" s="310">
        <f t="shared" si="331"/>
        <v>0</v>
      </c>
      <c r="X1058" s="310">
        <f t="shared" si="332"/>
        <v>0</v>
      </c>
    </row>
    <row r="1059" spans="1:24" s="307" customFormat="1" ht="29.25" hidden="1" customHeight="1" x14ac:dyDescent="0.2">
      <c r="A1059" s="504" t="s">
        <v>460</v>
      </c>
      <c r="B1059" s="306" t="s">
        <v>180</v>
      </c>
      <c r="C1059" s="354" t="s">
        <v>8</v>
      </c>
      <c r="D1059" s="354" t="s">
        <v>606</v>
      </c>
      <c r="E1059" s="450">
        <v>9990086010</v>
      </c>
      <c r="F1059" s="450"/>
      <c r="G1059" s="498">
        <f>G1060</f>
        <v>0</v>
      </c>
      <c r="H1059" s="498">
        <f>H1060</f>
        <v>0</v>
      </c>
      <c r="I1059" s="591">
        <f>I1060</f>
        <v>0</v>
      </c>
      <c r="J1059" s="591">
        <f>J1060</f>
        <v>0</v>
      </c>
      <c r="K1059" s="591">
        <f t="shared" si="333"/>
        <v>0</v>
      </c>
      <c r="L1059" s="591">
        <f t="shared" si="334"/>
        <v>0</v>
      </c>
      <c r="M1059" s="217">
        <f t="shared" si="328"/>
        <v>0</v>
      </c>
      <c r="N1059" s="308"/>
      <c r="R1059" s="591">
        <f>R1060</f>
        <v>0</v>
      </c>
      <c r="S1059" s="591">
        <f>S1060</f>
        <v>0</v>
      </c>
      <c r="T1059" s="309">
        <f t="shared" si="343"/>
        <v>0</v>
      </c>
      <c r="U1059" s="498">
        <f>U1060</f>
        <v>52.5</v>
      </c>
      <c r="V1059" s="498">
        <f>V1060</f>
        <v>0</v>
      </c>
      <c r="W1059" s="310">
        <f t="shared" si="331"/>
        <v>0</v>
      </c>
      <c r="X1059" s="310">
        <f t="shared" si="332"/>
        <v>0</v>
      </c>
    </row>
    <row r="1060" spans="1:24" ht="36.75" hidden="1" customHeight="1" x14ac:dyDescent="0.2">
      <c r="A1060" s="186" t="s">
        <v>646</v>
      </c>
      <c r="B1060" s="243" t="s">
        <v>180</v>
      </c>
      <c r="C1060" s="353" t="s">
        <v>8</v>
      </c>
      <c r="D1060" s="353" t="s">
        <v>606</v>
      </c>
      <c r="E1060" s="369">
        <v>9990086010</v>
      </c>
      <c r="F1060" s="369">
        <v>621</v>
      </c>
      <c r="G1060" s="288"/>
      <c r="H1060" s="288"/>
      <c r="I1060" s="288"/>
      <c r="J1060" s="288"/>
      <c r="K1060" s="43">
        <f t="shared" si="333"/>
        <v>0</v>
      </c>
      <c r="L1060" s="43">
        <f t="shared" si="334"/>
        <v>0</v>
      </c>
      <c r="M1060" s="217">
        <f t="shared" si="328"/>
        <v>0</v>
      </c>
      <c r="N1060" s="171"/>
      <c r="R1060" s="288"/>
      <c r="S1060" s="288"/>
      <c r="T1060" s="217">
        <f t="shared" si="343"/>
        <v>0</v>
      </c>
      <c r="U1060" s="288">
        <v>52.5</v>
      </c>
      <c r="V1060" s="288"/>
      <c r="W1060" s="203">
        <f t="shared" si="331"/>
        <v>0</v>
      </c>
      <c r="X1060" s="203">
        <f t="shared" si="332"/>
        <v>0</v>
      </c>
    </row>
    <row r="1061" spans="1:24" s="307" customFormat="1" ht="15" hidden="1" x14ac:dyDescent="0.2">
      <c r="A1061" s="451" t="s">
        <v>294</v>
      </c>
      <c r="B1061" s="306" t="s">
        <v>180</v>
      </c>
      <c r="C1061" s="354" t="s">
        <v>8</v>
      </c>
      <c r="D1061" s="354" t="s">
        <v>606</v>
      </c>
      <c r="E1061" s="450" t="s">
        <v>692</v>
      </c>
      <c r="F1061" s="450"/>
      <c r="G1061" s="498">
        <f>G1062</f>
        <v>0</v>
      </c>
      <c r="H1061" s="498">
        <f>H1062</f>
        <v>0</v>
      </c>
      <c r="I1061" s="591">
        <f>I1062</f>
        <v>0</v>
      </c>
      <c r="J1061" s="591">
        <f>J1062</f>
        <v>0</v>
      </c>
      <c r="K1061" s="591">
        <f t="shared" si="333"/>
        <v>0</v>
      </c>
      <c r="L1061" s="591">
        <f t="shared" si="334"/>
        <v>0</v>
      </c>
      <c r="M1061" s="217">
        <f t="shared" si="328"/>
        <v>0</v>
      </c>
      <c r="N1061" s="308"/>
      <c r="R1061" s="591">
        <f>R1062</f>
        <v>0</v>
      </c>
      <c r="S1061" s="591">
        <f>S1062</f>
        <v>0</v>
      </c>
      <c r="T1061" s="309">
        <f t="shared" si="343"/>
        <v>0</v>
      </c>
      <c r="U1061" s="498">
        <f>U1062</f>
        <v>0</v>
      </c>
      <c r="V1061" s="498">
        <f>V1062</f>
        <v>0</v>
      </c>
      <c r="W1061" s="310">
        <f t="shared" si="331"/>
        <v>0</v>
      </c>
      <c r="X1061" s="310">
        <f t="shared" si="332"/>
        <v>0</v>
      </c>
    </row>
    <row r="1062" spans="1:24" ht="15" hidden="1" x14ac:dyDescent="0.2">
      <c r="A1062" s="124" t="s">
        <v>126</v>
      </c>
      <c r="B1062" s="243" t="s">
        <v>180</v>
      </c>
      <c r="C1062" s="353" t="s">
        <v>8</v>
      </c>
      <c r="D1062" s="353" t="s">
        <v>606</v>
      </c>
      <c r="E1062" s="369" t="s">
        <v>692</v>
      </c>
      <c r="F1062" s="369">
        <v>622</v>
      </c>
      <c r="G1062" s="288"/>
      <c r="H1062" s="288"/>
      <c r="I1062" s="288"/>
      <c r="J1062" s="288"/>
      <c r="K1062" s="43">
        <f t="shared" si="333"/>
        <v>0</v>
      </c>
      <c r="L1062" s="43">
        <f t="shared" si="334"/>
        <v>0</v>
      </c>
      <c r="M1062" s="217">
        <f t="shared" si="328"/>
        <v>0</v>
      </c>
      <c r="N1062" s="171"/>
      <c r="R1062" s="288">
        <v>0</v>
      </c>
      <c r="S1062" s="288"/>
      <c r="T1062" s="217">
        <f t="shared" si="343"/>
        <v>0</v>
      </c>
      <c r="U1062" s="288"/>
      <c r="V1062" s="288"/>
      <c r="W1062" s="203">
        <f t="shared" si="331"/>
        <v>0</v>
      </c>
      <c r="X1062" s="203">
        <f t="shared" si="332"/>
        <v>0</v>
      </c>
    </row>
    <row r="1063" spans="1:24" s="307" customFormat="1" ht="15" hidden="1" customHeight="1" x14ac:dyDescent="0.2">
      <c r="A1063" s="451" t="s">
        <v>225</v>
      </c>
      <c r="B1063" s="306" t="s">
        <v>180</v>
      </c>
      <c r="C1063" s="354" t="s">
        <v>8</v>
      </c>
      <c r="D1063" s="354" t="s">
        <v>609</v>
      </c>
      <c r="E1063" s="450"/>
      <c r="F1063" s="450"/>
      <c r="G1063" s="498">
        <f t="shared" ref="G1063:J1065" si="344">G1064</f>
        <v>0</v>
      </c>
      <c r="H1063" s="498">
        <f t="shared" si="344"/>
        <v>0</v>
      </c>
      <c r="I1063" s="591">
        <f t="shared" si="344"/>
        <v>0</v>
      </c>
      <c r="J1063" s="591">
        <f t="shared" si="344"/>
        <v>0</v>
      </c>
      <c r="K1063" s="591">
        <f t="shared" si="333"/>
        <v>0</v>
      </c>
      <c r="L1063" s="591">
        <f t="shared" si="334"/>
        <v>0</v>
      </c>
      <c r="M1063" s="217">
        <f t="shared" si="328"/>
        <v>0</v>
      </c>
      <c r="N1063" s="308"/>
      <c r="R1063" s="591">
        <f t="shared" ref="R1063:S1065" si="345">R1064</f>
        <v>0</v>
      </c>
      <c r="S1063" s="591">
        <f t="shared" si="345"/>
        <v>0</v>
      </c>
      <c r="T1063" s="309">
        <f t="shared" si="343"/>
        <v>0</v>
      </c>
      <c r="U1063" s="498">
        <f t="shared" ref="U1063:V1065" si="346">U1064</f>
        <v>0</v>
      </c>
      <c r="V1063" s="498">
        <f t="shared" si="346"/>
        <v>0</v>
      </c>
      <c r="W1063" s="310">
        <f t="shared" si="331"/>
        <v>0</v>
      </c>
      <c r="X1063" s="310">
        <f t="shared" si="332"/>
        <v>0</v>
      </c>
    </row>
    <row r="1064" spans="1:24" s="307" customFormat="1" ht="26.25" hidden="1" customHeight="1" x14ac:dyDescent="0.2">
      <c r="A1064" s="451" t="s">
        <v>349</v>
      </c>
      <c r="B1064" s="306" t="s">
        <v>180</v>
      </c>
      <c r="C1064" s="354" t="s">
        <v>8</v>
      </c>
      <c r="D1064" s="354" t="s">
        <v>609</v>
      </c>
      <c r="E1064" s="450" t="s">
        <v>351</v>
      </c>
      <c r="F1064" s="450"/>
      <c r="G1064" s="498">
        <f t="shared" si="344"/>
        <v>0</v>
      </c>
      <c r="H1064" s="498">
        <f t="shared" si="344"/>
        <v>0</v>
      </c>
      <c r="I1064" s="591">
        <f t="shared" si="344"/>
        <v>0</v>
      </c>
      <c r="J1064" s="591">
        <f t="shared" si="344"/>
        <v>0</v>
      </c>
      <c r="K1064" s="591">
        <f t="shared" si="333"/>
        <v>0</v>
      </c>
      <c r="L1064" s="591">
        <f t="shared" si="334"/>
        <v>0</v>
      </c>
      <c r="M1064" s="217">
        <f t="shared" ref="M1064:M1180" si="347">I1064-G1064-K1064</f>
        <v>0</v>
      </c>
      <c r="N1064" s="308"/>
      <c r="R1064" s="591">
        <f t="shared" si="345"/>
        <v>0</v>
      </c>
      <c r="S1064" s="591">
        <f t="shared" si="345"/>
        <v>0</v>
      </c>
      <c r="T1064" s="309">
        <f t="shared" si="343"/>
        <v>0</v>
      </c>
      <c r="U1064" s="498">
        <f t="shared" si="346"/>
        <v>0</v>
      </c>
      <c r="V1064" s="498">
        <f t="shared" si="346"/>
        <v>0</v>
      </c>
      <c r="W1064" s="310">
        <f t="shared" si="331"/>
        <v>0</v>
      </c>
      <c r="X1064" s="310">
        <f t="shared" si="332"/>
        <v>0</v>
      </c>
    </row>
    <row r="1065" spans="1:24" s="307" customFormat="1" ht="15" hidden="1" customHeight="1" x14ac:dyDescent="0.2">
      <c r="A1065" s="451" t="s">
        <v>724</v>
      </c>
      <c r="B1065" s="306" t="s">
        <v>180</v>
      </c>
      <c r="C1065" s="354" t="s">
        <v>8</v>
      </c>
      <c r="D1065" s="354" t="s">
        <v>609</v>
      </c>
      <c r="E1065" s="450" t="s">
        <v>720</v>
      </c>
      <c r="F1065" s="450"/>
      <c r="G1065" s="498">
        <f t="shared" si="344"/>
        <v>0</v>
      </c>
      <c r="H1065" s="498">
        <f t="shared" si="344"/>
        <v>0</v>
      </c>
      <c r="I1065" s="591">
        <f t="shared" si="344"/>
        <v>0</v>
      </c>
      <c r="J1065" s="591">
        <f t="shared" si="344"/>
        <v>0</v>
      </c>
      <c r="K1065" s="591">
        <f t="shared" si="333"/>
        <v>0</v>
      </c>
      <c r="L1065" s="591">
        <f t="shared" si="334"/>
        <v>0</v>
      </c>
      <c r="M1065" s="217">
        <f t="shared" si="347"/>
        <v>0</v>
      </c>
      <c r="N1065" s="308"/>
      <c r="R1065" s="591">
        <f t="shared" si="345"/>
        <v>0</v>
      </c>
      <c r="S1065" s="591">
        <f t="shared" si="345"/>
        <v>0</v>
      </c>
      <c r="T1065" s="309">
        <f t="shared" si="343"/>
        <v>0</v>
      </c>
      <c r="U1065" s="498">
        <f t="shared" si="346"/>
        <v>0</v>
      </c>
      <c r="V1065" s="498">
        <f t="shared" si="346"/>
        <v>0</v>
      </c>
      <c r="W1065" s="310">
        <f t="shared" si="331"/>
        <v>0</v>
      </c>
      <c r="X1065" s="310">
        <f t="shared" si="332"/>
        <v>0</v>
      </c>
    </row>
    <row r="1066" spans="1:24" s="307" customFormat="1" ht="29.25" hidden="1" customHeight="1" x14ac:dyDescent="0.2">
      <c r="A1066" s="451" t="s">
        <v>725</v>
      </c>
      <c r="B1066" s="306" t="s">
        <v>180</v>
      </c>
      <c r="C1066" s="354" t="s">
        <v>8</v>
      </c>
      <c r="D1066" s="354" t="s">
        <v>609</v>
      </c>
      <c r="E1066" s="450" t="s">
        <v>721</v>
      </c>
      <c r="F1066" s="450"/>
      <c r="G1066" s="498">
        <f>G1067+G1070</f>
        <v>0</v>
      </c>
      <c r="H1066" s="498">
        <f>H1067+H1070</f>
        <v>0</v>
      </c>
      <c r="I1066" s="591">
        <f>I1067+I1070</f>
        <v>0</v>
      </c>
      <c r="J1066" s="591">
        <f>J1067+J1070</f>
        <v>0</v>
      </c>
      <c r="K1066" s="591">
        <f t="shared" si="333"/>
        <v>0</v>
      </c>
      <c r="L1066" s="591">
        <f t="shared" si="334"/>
        <v>0</v>
      </c>
      <c r="M1066" s="217">
        <f t="shared" si="347"/>
        <v>0</v>
      </c>
      <c r="N1066" s="308"/>
      <c r="R1066" s="591">
        <f>R1067+R1070</f>
        <v>0</v>
      </c>
      <c r="S1066" s="591">
        <f>S1067+S1070</f>
        <v>0</v>
      </c>
      <c r="T1066" s="309">
        <f t="shared" si="343"/>
        <v>0</v>
      </c>
      <c r="U1066" s="498">
        <f>U1067+U1070</f>
        <v>0</v>
      </c>
      <c r="V1066" s="498">
        <f>V1067+V1070</f>
        <v>0</v>
      </c>
      <c r="W1066" s="310">
        <f t="shared" si="331"/>
        <v>0</v>
      </c>
      <c r="X1066" s="310">
        <f t="shared" si="332"/>
        <v>0</v>
      </c>
    </row>
    <row r="1067" spans="1:24" s="307" customFormat="1" ht="27" hidden="1" customHeight="1" x14ac:dyDescent="0.2">
      <c r="A1067" s="451" t="s">
        <v>726</v>
      </c>
      <c r="B1067" s="306" t="s">
        <v>180</v>
      </c>
      <c r="C1067" s="354" t="s">
        <v>8</v>
      </c>
      <c r="D1067" s="354" t="s">
        <v>609</v>
      </c>
      <c r="E1067" s="450" t="s">
        <v>722</v>
      </c>
      <c r="F1067" s="450"/>
      <c r="G1067" s="498">
        <f>G1068+G1069</f>
        <v>0</v>
      </c>
      <c r="H1067" s="498">
        <f>H1068+H1069</f>
        <v>0</v>
      </c>
      <c r="I1067" s="591">
        <f>I1068+I1069</f>
        <v>0</v>
      </c>
      <c r="J1067" s="591">
        <f>J1068+J1069</f>
        <v>0</v>
      </c>
      <c r="K1067" s="591">
        <f t="shared" si="333"/>
        <v>0</v>
      </c>
      <c r="L1067" s="591">
        <f t="shared" si="334"/>
        <v>0</v>
      </c>
      <c r="M1067" s="217">
        <f t="shared" si="347"/>
        <v>0</v>
      </c>
      <c r="N1067" s="308"/>
      <c r="R1067" s="591">
        <f>R1068+R1069</f>
        <v>0</v>
      </c>
      <c r="S1067" s="591">
        <f>S1068+S1069</f>
        <v>0</v>
      </c>
      <c r="T1067" s="309">
        <f t="shared" si="343"/>
        <v>0</v>
      </c>
      <c r="U1067" s="498">
        <f>U1068+U1069</f>
        <v>0</v>
      </c>
      <c r="V1067" s="498">
        <f>V1068+V1069</f>
        <v>0</v>
      </c>
      <c r="W1067" s="310">
        <f t="shared" si="331"/>
        <v>0</v>
      </c>
      <c r="X1067" s="310">
        <f t="shared" si="332"/>
        <v>0</v>
      </c>
    </row>
    <row r="1068" spans="1:24" ht="15" hidden="1" customHeight="1" x14ac:dyDescent="0.2">
      <c r="A1068" s="124" t="s">
        <v>125</v>
      </c>
      <c r="B1068" s="243" t="s">
        <v>180</v>
      </c>
      <c r="C1068" s="353" t="s">
        <v>8</v>
      </c>
      <c r="D1068" s="353" t="s">
        <v>609</v>
      </c>
      <c r="E1068" s="369" t="s">
        <v>722</v>
      </c>
      <c r="F1068" s="369" t="s">
        <v>123</v>
      </c>
      <c r="G1068" s="288"/>
      <c r="H1068" s="288"/>
      <c r="I1068" s="288"/>
      <c r="J1068" s="288"/>
      <c r="K1068" s="43">
        <f t="shared" si="333"/>
        <v>0</v>
      </c>
      <c r="L1068" s="43">
        <f t="shared" si="334"/>
        <v>0</v>
      </c>
      <c r="M1068" s="217">
        <f t="shared" si="347"/>
        <v>0</v>
      </c>
      <c r="N1068" s="171"/>
      <c r="R1068" s="288"/>
      <c r="S1068" s="288"/>
      <c r="T1068" s="217">
        <f t="shared" si="343"/>
        <v>0</v>
      </c>
      <c r="U1068" s="288"/>
      <c r="V1068" s="288"/>
      <c r="W1068" s="203">
        <f t="shared" si="331"/>
        <v>0</v>
      </c>
      <c r="X1068" s="203">
        <f t="shared" si="332"/>
        <v>0</v>
      </c>
    </row>
    <row r="1069" spans="1:24" ht="15" hidden="1" customHeight="1" x14ac:dyDescent="0.2">
      <c r="A1069" s="124" t="s">
        <v>126</v>
      </c>
      <c r="B1069" s="243" t="s">
        <v>180</v>
      </c>
      <c r="C1069" s="353" t="s">
        <v>8</v>
      </c>
      <c r="D1069" s="353" t="s">
        <v>609</v>
      </c>
      <c r="E1069" s="369" t="s">
        <v>722</v>
      </c>
      <c r="F1069" s="369" t="s">
        <v>124</v>
      </c>
      <c r="G1069" s="288"/>
      <c r="H1069" s="288"/>
      <c r="I1069" s="288"/>
      <c r="J1069" s="288"/>
      <c r="K1069" s="43">
        <f t="shared" si="333"/>
        <v>0</v>
      </c>
      <c r="L1069" s="43">
        <f t="shared" si="334"/>
        <v>0</v>
      </c>
      <c r="M1069" s="217">
        <f t="shared" si="347"/>
        <v>0</v>
      </c>
      <c r="N1069" s="171"/>
      <c r="R1069" s="288"/>
      <c r="S1069" s="288"/>
      <c r="T1069" s="217">
        <f t="shared" si="343"/>
        <v>0</v>
      </c>
      <c r="U1069" s="288"/>
      <c r="V1069" s="288"/>
      <c r="W1069" s="203">
        <f t="shared" si="331"/>
        <v>0</v>
      </c>
      <c r="X1069" s="203">
        <f t="shared" si="332"/>
        <v>0</v>
      </c>
    </row>
    <row r="1070" spans="1:24" s="307" customFormat="1" ht="30" hidden="1" customHeight="1" x14ac:dyDescent="0.2">
      <c r="A1070" s="451" t="s">
        <v>727</v>
      </c>
      <c r="B1070" s="306" t="s">
        <v>180</v>
      </c>
      <c r="C1070" s="354" t="s">
        <v>8</v>
      </c>
      <c r="D1070" s="354" t="s">
        <v>609</v>
      </c>
      <c r="E1070" s="450" t="s">
        <v>723</v>
      </c>
      <c r="F1070" s="450"/>
      <c r="G1070" s="498">
        <f>G1071+G1072</f>
        <v>0</v>
      </c>
      <c r="H1070" s="498">
        <f>H1071+H1072</f>
        <v>0</v>
      </c>
      <c r="I1070" s="591">
        <f>I1071+I1072</f>
        <v>0</v>
      </c>
      <c r="J1070" s="591">
        <f>J1071+J1072</f>
        <v>0</v>
      </c>
      <c r="K1070" s="591">
        <f t="shared" si="333"/>
        <v>0</v>
      </c>
      <c r="L1070" s="591">
        <f t="shared" si="334"/>
        <v>0</v>
      </c>
      <c r="M1070" s="217">
        <f t="shared" si="347"/>
        <v>0</v>
      </c>
      <c r="N1070" s="308"/>
      <c r="R1070" s="591">
        <f>R1071+R1072</f>
        <v>0</v>
      </c>
      <c r="S1070" s="591">
        <f>S1071+S1072</f>
        <v>0</v>
      </c>
      <c r="T1070" s="309">
        <f t="shared" si="343"/>
        <v>0</v>
      </c>
      <c r="U1070" s="498">
        <f>U1071+U1072</f>
        <v>0</v>
      </c>
      <c r="V1070" s="498">
        <f>V1071+V1072</f>
        <v>0</v>
      </c>
      <c r="W1070" s="310">
        <f t="shared" si="331"/>
        <v>0</v>
      </c>
      <c r="X1070" s="310">
        <f t="shared" si="332"/>
        <v>0</v>
      </c>
    </row>
    <row r="1071" spans="1:24" ht="15" hidden="1" customHeight="1" x14ac:dyDescent="0.2">
      <c r="A1071" s="124" t="s">
        <v>125</v>
      </c>
      <c r="B1071" s="243" t="s">
        <v>180</v>
      </c>
      <c r="C1071" s="353" t="s">
        <v>8</v>
      </c>
      <c r="D1071" s="353" t="s">
        <v>609</v>
      </c>
      <c r="E1071" s="369" t="s">
        <v>723</v>
      </c>
      <c r="F1071" s="369" t="s">
        <v>123</v>
      </c>
      <c r="G1071" s="288"/>
      <c r="H1071" s="288"/>
      <c r="I1071" s="288"/>
      <c r="J1071" s="288"/>
      <c r="K1071" s="43">
        <f t="shared" si="333"/>
        <v>0</v>
      </c>
      <c r="L1071" s="43">
        <f t="shared" si="334"/>
        <v>0</v>
      </c>
      <c r="M1071" s="217">
        <f t="shared" si="347"/>
        <v>0</v>
      </c>
      <c r="N1071" s="171"/>
      <c r="R1071" s="288"/>
      <c r="S1071" s="288"/>
      <c r="T1071" s="217">
        <f t="shared" si="343"/>
        <v>0</v>
      </c>
      <c r="U1071" s="288"/>
      <c r="V1071" s="288"/>
      <c r="W1071" s="203">
        <f t="shared" si="331"/>
        <v>0</v>
      </c>
      <c r="X1071" s="203">
        <f t="shared" si="332"/>
        <v>0</v>
      </c>
    </row>
    <row r="1072" spans="1:24" ht="15" hidden="1" customHeight="1" x14ac:dyDescent="0.2">
      <c r="A1072" s="124" t="s">
        <v>126</v>
      </c>
      <c r="B1072" s="243" t="s">
        <v>180</v>
      </c>
      <c r="C1072" s="353" t="s">
        <v>8</v>
      </c>
      <c r="D1072" s="353" t="s">
        <v>609</v>
      </c>
      <c r="E1072" s="369" t="s">
        <v>723</v>
      </c>
      <c r="F1072" s="369" t="s">
        <v>124</v>
      </c>
      <c r="G1072" s="288"/>
      <c r="H1072" s="288"/>
      <c r="I1072" s="288"/>
      <c r="J1072" s="288"/>
      <c r="K1072" s="43">
        <f t="shared" si="333"/>
        <v>0</v>
      </c>
      <c r="L1072" s="43">
        <f t="shared" si="334"/>
        <v>0</v>
      </c>
      <c r="M1072" s="217">
        <f t="shared" si="347"/>
        <v>0</v>
      </c>
      <c r="N1072" s="171"/>
      <c r="R1072" s="288"/>
      <c r="S1072" s="288"/>
      <c r="T1072" s="217">
        <f t="shared" si="343"/>
        <v>0</v>
      </c>
      <c r="U1072" s="288"/>
      <c r="V1072" s="288"/>
      <c r="W1072" s="203">
        <f t="shared" si="331"/>
        <v>0</v>
      </c>
      <c r="X1072" s="203">
        <f t="shared" si="332"/>
        <v>0</v>
      </c>
    </row>
    <row r="1073" spans="1:24" s="307" customFormat="1" ht="15" x14ac:dyDescent="0.2">
      <c r="A1073" s="746" t="s">
        <v>654</v>
      </c>
      <c r="B1073" s="306" t="s">
        <v>180</v>
      </c>
      <c r="C1073" s="354" t="s">
        <v>8</v>
      </c>
      <c r="D1073" s="354" t="s">
        <v>8</v>
      </c>
      <c r="E1073" s="450"/>
      <c r="F1073" s="450"/>
      <c r="G1073" s="591">
        <f>G1074+G1093</f>
        <v>7057.9</v>
      </c>
      <c r="H1073" s="591">
        <f t="shared" ref="G1073:J1075" si="348">H1074</f>
        <v>0</v>
      </c>
      <c r="I1073" s="591">
        <f>I1074+I1093</f>
        <v>7038.5776500000002</v>
      </c>
      <c r="J1073" s="591">
        <f t="shared" si="348"/>
        <v>0</v>
      </c>
      <c r="K1073" s="591">
        <f t="shared" si="333"/>
        <v>-19.32234999999946</v>
      </c>
      <c r="L1073" s="591">
        <f t="shared" si="334"/>
        <v>0</v>
      </c>
      <c r="M1073" s="217">
        <f t="shared" si="347"/>
        <v>0</v>
      </c>
      <c r="N1073" s="292">
        <f>N1074</f>
        <v>6343.4999999999991</v>
      </c>
      <c r="R1073" s="591">
        <f t="shared" ref="R1073:S1075" si="349">R1074</f>
        <v>6154.6494299999995</v>
      </c>
      <c r="S1073" s="591">
        <f t="shared" si="349"/>
        <v>0</v>
      </c>
      <c r="T1073" s="309">
        <f t="shared" si="343"/>
        <v>-19.32234999999946</v>
      </c>
      <c r="U1073" s="498">
        <f t="shared" ref="U1073:V1075" si="350">U1074</f>
        <v>5104.4681</v>
      </c>
      <c r="V1073" s="498">
        <f t="shared" si="350"/>
        <v>0</v>
      </c>
      <c r="W1073" s="310">
        <f t="shared" si="331"/>
        <v>19.32234999999946</v>
      </c>
      <c r="X1073" s="310">
        <f t="shared" si="332"/>
        <v>0</v>
      </c>
    </row>
    <row r="1074" spans="1:24" s="307" customFormat="1" ht="15" x14ac:dyDescent="0.2">
      <c r="A1074" s="746" t="s">
        <v>349</v>
      </c>
      <c r="B1074" s="306" t="s">
        <v>180</v>
      </c>
      <c r="C1074" s="354" t="s">
        <v>8</v>
      </c>
      <c r="D1074" s="354" t="s">
        <v>8</v>
      </c>
      <c r="E1074" s="450" t="s">
        <v>351</v>
      </c>
      <c r="F1074" s="450"/>
      <c r="G1074" s="591">
        <f t="shared" si="348"/>
        <v>7057.9</v>
      </c>
      <c r="H1074" s="591">
        <f t="shared" si="348"/>
        <v>0</v>
      </c>
      <c r="I1074" s="591">
        <f t="shared" si="348"/>
        <v>7038.5776500000002</v>
      </c>
      <c r="J1074" s="591">
        <f t="shared" si="348"/>
        <v>0</v>
      </c>
      <c r="K1074" s="591">
        <f t="shared" si="333"/>
        <v>-19.32234999999946</v>
      </c>
      <c r="L1074" s="591">
        <f t="shared" si="334"/>
        <v>0</v>
      </c>
      <c r="M1074" s="217">
        <f t="shared" si="347"/>
        <v>0</v>
      </c>
      <c r="N1074" s="308">
        <f>N1075</f>
        <v>6343.4999999999991</v>
      </c>
      <c r="R1074" s="591">
        <f t="shared" si="349"/>
        <v>6154.6494299999995</v>
      </c>
      <c r="S1074" s="591">
        <f t="shared" si="349"/>
        <v>0</v>
      </c>
      <c r="T1074" s="309">
        <f t="shared" si="343"/>
        <v>-19.32234999999946</v>
      </c>
      <c r="U1074" s="498">
        <f t="shared" si="350"/>
        <v>5104.4681</v>
      </c>
      <c r="V1074" s="498">
        <f t="shared" si="350"/>
        <v>0</v>
      </c>
      <c r="W1074" s="310">
        <f t="shared" si="331"/>
        <v>19.32234999999946</v>
      </c>
      <c r="X1074" s="310">
        <f t="shared" si="332"/>
        <v>0</v>
      </c>
    </row>
    <row r="1075" spans="1:24" s="307" customFormat="1" ht="15" x14ac:dyDescent="0.2">
      <c r="A1075" s="746" t="s">
        <v>353</v>
      </c>
      <c r="B1075" s="306" t="s">
        <v>180</v>
      </c>
      <c r="C1075" s="354" t="s">
        <v>8</v>
      </c>
      <c r="D1075" s="354" t="s">
        <v>8</v>
      </c>
      <c r="E1075" s="450" t="s">
        <v>354</v>
      </c>
      <c r="F1075" s="450"/>
      <c r="G1075" s="591">
        <f t="shared" si="348"/>
        <v>7057.9</v>
      </c>
      <c r="H1075" s="591">
        <f t="shared" si="348"/>
        <v>0</v>
      </c>
      <c r="I1075" s="591">
        <f t="shared" si="348"/>
        <v>7038.5776500000002</v>
      </c>
      <c r="J1075" s="591">
        <f t="shared" si="348"/>
        <v>0</v>
      </c>
      <c r="K1075" s="591">
        <f t="shared" si="333"/>
        <v>-19.32234999999946</v>
      </c>
      <c r="L1075" s="591">
        <f t="shared" si="334"/>
        <v>0</v>
      </c>
      <c r="M1075" s="217">
        <f t="shared" si="347"/>
        <v>0</v>
      </c>
      <c r="N1075" s="308">
        <f>N1076</f>
        <v>6343.4999999999991</v>
      </c>
      <c r="R1075" s="591">
        <f t="shared" si="349"/>
        <v>6154.6494299999995</v>
      </c>
      <c r="S1075" s="591">
        <f t="shared" si="349"/>
        <v>0</v>
      </c>
      <c r="T1075" s="309">
        <f t="shared" si="343"/>
        <v>-19.32234999999946</v>
      </c>
      <c r="U1075" s="498">
        <f t="shared" si="350"/>
        <v>5104.4681</v>
      </c>
      <c r="V1075" s="498">
        <f t="shared" si="350"/>
        <v>0</v>
      </c>
      <c r="W1075" s="310">
        <f t="shared" si="331"/>
        <v>19.32234999999946</v>
      </c>
      <c r="X1075" s="310">
        <f t="shared" si="332"/>
        <v>0</v>
      </c>
    </row>
    <row r="1076" spans="1:24" s="307" customFormat="1" ht="25.5" x14ac:dyDescent="0.2">
      <c r="A1076" s="746" t="s">
        <v>1301</v>
      </c>
      <c r="B1076" s="306" t="s">
        <v>180</v>
      </c>
      <c r="C1076" s="354" t="s">
        <v>8</v>
      </c>
      <c r="D1076" s="354" t="s">
        <v>8</v>
      </c>
      <c r="E1076" s="450">
        <v>7820100000</v>
      </c>
      <c r="F1076" s="450"/>
      <c r="G1076" s="591">
        <f>G1085+G1089+G1077+G1080</f>
        <v>7057.9</v>
      </c>
      <c r="H1076" s="591">
        <f>H1085+H1089+H1077+H1080</f>
        <v>0</v>
      </c>
      <c r="I1076" s="591">
        <f>I1085+I1089+I1077+I1080</f>
        <v>7038.5776500000002</v>
      </c>
      <c r="J1076" s="591">
        <f>J1085+J1089+J1077+J1080</f>
        <v>0</v>
      </c>
      <c r="K1076" s="591">
        <f t="shared" si="333"/>
        <v>-19.32234999999946</v>
      </c>
      <c r="L1076" s="591">
        <f t="shared" si="334"/>
        <v>0</v>
      </c>
      <c r="M1076" s="217">
        <f t="shared" si="347"/>
        <v>0</v>
      </c>
      <c r="N1076" s="308">
        <f>N1085+N1089+N1077+N1080</f>
        <v>6343.4999999999991</v>
      </c>
      <c r="R1076" s="591">
        <f>R1085+R1089+R1077+R1080</f>
        <v>6154.6494299999995</v>
      </c>
      <c r="S1076" s="591">
        <f>S1085+S1089+S1077+S1080</f>
        <v>0</v>
      </c>
      <c r="T1076" s="309">
        <f t="shared" si="343"/>
        <v>-19.32234999999946</v>
      </c>
      <c r="U1076" s="498">
        <f>U1085+U1089+U1077+U1080</f>
        <v>5104.4681</v>
      </c>
      <c r="V1076" s="498">
        <f>V1085+V1089+V1077+V1080</f>
        <v>0</v>
      </c>
      <c r="W1076" s="310">
        <f t="shared" si="331"/>
        <v>19.32234999999946</v>
      </c>
      <c r="X1076" s="310">
        <f t="shared" si="332"/>
        <v>0</v>
      </c>
    </row>
    <row r="1077" spans="1:24" s="307" customFormat="1" ht="15" hidden="1" x14ac:dyDescent="0.2">
      <c r="A1077" s="451" t="s">
        <v>68</v>
      </c>
      <c r="B1077" s="306" t="s">
        <v>180</v>
      </c>
      <c r="C1077" s="354" t="s">
        <v>8</v>
      </c>
      <c r="D1077" s="354" t="s">
        <v>8</v>
      </c>
      <c r="E1077" s="450" t="s">
        <v>568</v>
      </c>
      <c r="F1077" s="450"/>
      <c r="G1077" s="498">
        <f>G1079+G1078</f>
        <v>0</v>
      </c>
      <c r="H1077" s="498">
        <f>H1079+H1078</f>
        <v>0</v>
      </c>
      <c r="I1077" s="591">
        <f>I1079+I1078</f>
        <v>0</v>
      </c>
      <c r="J1077" s="591">
        <f>J1079+J1078</f>
        <v>0</v>
      </c>
      <c r="K1077" s="591">
        <f t="shared" si="333"/>
        <v>0</v>
      </c>
      <c r="L1077" s="591">
        <f t="shared" si="334"/>
        <v>0</v>
      </c>
      <c r="M1077" s="217">
        <f t="shared" si="347"/>
        <v>0</v>
      </c>
      <c r="N1077" s="292">
        <f>N1079</f>
        <v>87.5</v>
      </c>
      <c r="R1077" s="591">
        <f>R1079+R1078</f>
        <v>0</v>
      </c>
      <c r="S1077" s="591">
        <f>S1079+S1078</f>
        <v>0</v>
      </c>
      <c r="T1077" s="309">
        <f t="shared" si="343"/>
        <v>0</v>
      </c>
      <c r="U1077" s="498">
        <f>U1079+U1078</f>
        <v>0</v>
      </c>
      <c r="V1077" s="498">
        <f>V1079+V1078</f>
        <v>0</v>
      </c>
      <c r="W1077" s="310">
        <f t="shared" si="331"/>
        <v>0</v>
      </c>
      <c r="X1077" s="310">
        <f t="shared" si="332"/>
        <v>0</v>
      </c>
    </row>
    <row r="1078" spans="1:24" ht="15" hidden="1" x14ac:dyDescent="0.2">
      <c r="A1078" s="124" t="s">
        <v>835</v>
      </c>
      <c r="B1078" s="243" t="s">
        <v>180</v>
      </c>
      <c r="C1078" s="353" t="s">
        <v>8</v>
      </c>
      <c r="D1078" s="353" t="s">
        <v>8</v>
      </c>
      <c r="E1078" s="369" t="s">
        <v>568</v>
      </c>
      <c r="F1078" s="369" t="s">
        <v>301</v>
      </c>
      <c r="G1078" s="288"/>
      <c r="H1078" s="288"/>
      <c r="I1078" s="288"/>
      <c r="J1078" s="288"/>
      <c r="K1078" s="43">
        <f t="shared" si="333"/>
        <v>0</v>
      </c>
      <c r="L1078" s="43">
        <f t="shared" si="334"/>
        <v>0</v>
      </c>
      <c r="M1078" s="217">
        <f t="shared" si="347"/>
        <v>0</v>
      </c>
      <c r="N1078" s="43"/>
      <c r="R1078" s="288"/>
      <c r="S1078" s="288"/>
      <c r="T1078" s="217"/>
      <c r="U1078" s="288"/>
      <c r="V1078" s="288"/>
      <c r="W1078" s="203">
        <f t="shared" si="331"/>
        <v>0</v>
      </c>
      <c r="X1078" s="203">
        <f t="shared" si="332"/>
        <v>0</v>
      </c>
    </row>
    <row r="1079" spans="1:24" ht="15" hidden="1" x14ac:dyDescent="0.2">
      <c r="A1079" s="124" t="s">
        <v>125</v>
      </c>
      <c r="B1079" s="243" t="s">
        <v>180</v>
      </c>
      <c r="C1079" s="353" t="s">
        <v>8</v>
      </c>
      <c r="D1079" s="353" t="s">
        <v>8</v>
      </c>
      <c r="E1079" s="369" t="s">
        <v>568</v>
      </c>
      <c r="F1079" s="369" t="s">
        <v>123</v>
      </c>
      <c r="G1079" s="288"/>
      <c r="H1079" s="288"/>
      <c r="I1079" s="288"/>
      <c r="J1079" s="288"/>
      <c r="K1079" s="43">
        <f t="shared" si="333"/>
        <v>0</v>
      </c>
      <c r="L1079" s="43">
        <f t="shared" si="334"/>
        <v>0</v>
      </c>
      <c r="M1079" s="217">
        <f t="shared" si="347"/>
        <v>0</v>
      </c>
      <c r="N1079" s="43">
        <v>87.5</v>
      </c>
      <c r="R1079" s="288"/>
      <c r="S1079" s="288"/>
      <c r="T1079" s="217">
        <f t="shared" ref="T1079:T1092" si="351">I1079-G1079</f>
        <v>0</v>
      </c>
      <c r="U1079" s="288"/>
      <c r="V1079" s="288"/>
      <c r="W1079" s="203">
        <f t="shared" si="331"/>
        <v>0</v>
      </c>
      <c r="X1079" s="203">
        <f t="shared" si="332"/>
        <v>0</v>
      </c>
    </row>
    <row r="1080" spans="1:24" s="307" customFormat="1" ht="26.25" hidden="1" customHeight="1" x14ac:dyDescent="0.2">
      <c r="A1080" s="451" t="s">
        <v>569</v>
      </c>
      <c r="B1080" s="306" t="s">
        <v>180</v>
      </c>
      <c r="C1080" s="354" t="s">
        <v>8</v>
      </c>
      <c r="D1080" s="354" t="s">
        <v>8</v>
      </c>
      <c r="E1080" s="450" t="s">
        <v>570</v>
      </c>
      <c r="F1080" s="450"/>
      <c r="G1080" s="498">
        <f>SUM(G1081:G1084)</f>
        <v>0</v>
      </c>
      <c r="H1080" s="498">
        <f>SUM(H1081:H1084)</f>
        <v>0</v>
      </c>
      <c r="I1080" s="591">
        <f>SUM(I1081:I1084)</f>
        <v>0</v>
      </c>
      <c r="J1080" s="591">
        <f>SUM(J1081:J1084)</f>
        <v>0</v>
      </c>
      <c r="K1080" s="591">
        <f t="shared" si="333"/>
        <v>0</v>
      </c>
      <c r="L1080" s="591">
        <f t="shared" si="334"/>
        <v>0</v>
      </c>
      <c r="M1080" s="217">
        <f t="shared" si="347"/>
        <v>0</v>
      </c>
      <c r="N1080" s="308">
        <f>SUM(N1081:N1084)</f>
        <v>1633.6999999999998</v>
      </c>
      <c r="R1080" s="591">
        <f>SUM(R1081:R1084)</f>
        <v>0</v>
      </c>
      <c r="S1080" s="591">
        <f>SUM(S1081:S1084)</f>
        <v>0</v>
      </c>
      <c r="T1080" s="309">
        <f t="shared" si="351"/>
        <v>0</v>
      </c>
      <c r="U1080" s="498">
        <f>SUM(U1081:U1084)</f>
        <v>0</v>
      </c>
      <c r="V1080" s="498">
        <f>SUM(V1081:V1084)</f>
        <v>0</v>
      </c>
      <c r="W1080" s="310">
        <f t="shared" si="331"/>
        <v>0</v>
      </c>
      <c r="X1080" s="310">
        <f t="shared" si="332"/>
        <v>0</v>
      </c>
    </row>
    <row r="1081" spans="1:24" ht="15" hidden="1" customHeight="1" x14ac:dyDescent="0.2">
      <c r="A1081" s="124" t="s">
        <v>835</v>
      </c>
      <c r="B1081" s="243" t="s">
        <v>180</v>
      </c>
      <c r="C1081" s="353" t="s">
        <v>8</v>
      </c>
      <c r="D1081" s="353" t="s">
        <v>8</v>
      </c>
      <c r="E1081" s="369" t="s">
        <v>570</v>
      </c>
      <c r="F1081" s="369" t="s">
        <v>301</v>
      </c>
      <c r="G1081" s="288"/>
      <c r="H1081" s="288"/>
      <c r="I1081" s="288"/>
      <c r="J1081" s="288"/>
      <c r="K1081" s="43">
        <f t="shared" si="333"/>
        <v>0</v>
      </c>
      <c r="L1081" s="43">
        <f t="shared" si="334"/>
        <v>0</v>
      </c>
      <c r="M1081" s="217">
        <f t="shared" si="347"/>
        <v>0</v>
      </c>
      <c r="N1081" s="171">
        <v>647.29999999999995</v>
      </c>
      <c r="R1081" s="288"/>
      <c r="S1081" s="288"/>
      <c r="T1081" s="217">
        <f t="shared" si="351"/>
        <v>0</v>
      </c>
      <c r="U1081" s="288"/>
      <c r="V1081" s="288"/>
      <c r="W1081" s="203">
        <f t="shared" si="331"/>
        <v>0</v>
      </c>
      <c r="X1081" s="203">
        <f t="shared" si="332"/>
        <v>0</v>
      </c>
    </row>
    <row r="1082" spans="1:24" ht="15" hidden="1" x14ac:dyDescent="0.2">
      <c r="A1082" s="124" t="s">
        <v>125</v>
      </c>
      <c r="B1082" s="243" t="s">
        <v>180</v>
      </c>
      <c r="C1082" s="353" t="s">
        <v>8</v>
      </c>
      <c r="D1082" s="353" t="s">
        <v>8</v>
      </c>
      <c r="E1082" s="369" t="s">
        <v>570</v>
      </c>
      <c r="F1082" s="369" t="s">
        <v>123</v>
      </c>
      <c r="G1082" s="288"/>
      <c r="H1082" s="288"/>
      <c r="I1082" s="288"/>
      <c r="J1082" s="288"/>
      <c r="K1082" s="43">
        <f t="shared" si="333"/>
        <v>0</v>
      </c>
      <c r="L1082" s="43">
        <f t="shared" si="334"/>
        <v>0</v>
      </c>
      <c r="M1082" s="217">
        <f t="shared" si="347"/>
        <v>0</v>
      </c>
      <c r="N1082" s="171">
        <v>342.4</v>
      </c>
      <c r="R1082" s="288"/>
      <c r="S1082" s="288"/>
      <c r="T1082" s="217">
        <f t="shared" si="351"/>
        <v>0</v>
      </c>
      <c r="U1082" s="288"/>
      <c r="V1082" s="288"/>
      <c r="W1082" s="203">
        <f t="shared" si="331"/>
        <v>0</v>
      </c>
      <c r="X1082" s="203">
        <f t="shared" si="332"/>
        <v>0</v>
      </c>
    </row>
    <row r="1083" spans="1:24" ht="36.75" hidden="1" customHeight="1" x14ac:dyDescent="0.2">
      <c r="A1083" s="124" t="s">
        <v>646</v>
      </c>
      <c r="B1083" s="243" t="s">
        <v>180</v>
      </c>
      <c r="C1083" s="353" t="s">
        <v>8</v>
      </c>
      <c r="D1083" s="353" t="s">
        <v>8</v>
      </c>
      <c r="E1083" s="369" t="s">
        <v>62</v>
      </c>
      <c r="F1083" s="369" t="s">
        <v>128</v>
      </c>
      <c r="G1083" s="288"/>
      <c r="H1083" s="288"/>
      <c r="I1083" s="288"/>
      <c r="J1083" s="288"/>
      <c r="K1083" s="43">
        <f t="shared" si="333"/>
        <v>0</v>
      </c>
      <c r="L1083" s="43">
        <f t="shared" si="334"/>
        <v>0</v>
      </c>
      <c r="M1083" s="217">
        <f t="shared" si="347"/>
        <v>0</v>
      </c>
      <c r="N1083" s="171"/>
      <c r="R1083" s="288"/>
      <c r="S1083" s="288"/>
      <c r="T1083" s="217">
        <f t="shared" si="351"/>
        <v>0</v>
      </c>
      <c r="U1083" s="288"/>
      <c r="V1083" s="288"/>
      <c r="W1083" s="203">
        <f t="shared" si="331"/>
        <v>0</v>
      </c>
      <c r="X1083" s="203">
        <f t="shared" si="332"/>
        <v>0</v>
      </c>
    </row>
    <row r="1084" spans="1:24" ht="15" hidden="1" x14ac:dyDescent="0.2">
      <c r="A1084" s="124" t="s">
        <v>126</v>
      </c>
      <c r="B1084" s="243" t="s">
        <v>180</v>
      </c>
      <c r="C1084" s="353" t="s">
        <v>8</v>
      </c>
      <c r="D1084" s="353" t="s">
        <v>8</v>
      </c>
      <c r="E1084" s="369" t="s">
        <v>570</v>
      </c>
      <c r="F1084" s="369" t="s">
        <v>124</v>
      </c>
      <c r="G1084" s="288"/>
      <c r="H1084" s="288"/>
      <c r="I1084" s="288"/>
      <c r="J1084" s="288"/>
      <c r="K1084" s="43">
        <f t="shared" si="333"/>
        <v>0</v>
      </c>
      <c r="L1084" s="43">
        <f t="shared" si="334"/>
        <v>0</v>
      </c>
      <c r="M1084" s="217">
        <f t="shared" si="347"/>
        <v>0</v>
      </c>
      <c r="N1084" s="171">
        <v>644</v>
      </c>
      <c r="R1084" s="288"/>
      <c r="S1084" s="288"/>
      <c r="T1084" s="217">
        <f t="shared" si="351"/>
        <v>0</v>
      </c>
      <c r="U1084" s="288"/>
      <c r="V1084" s="288"/>
      <c r="W1084" s="203">
        <f t="shared" si="331"/>
        <v>0</v>
      </c>
      <c r="X1084" s="203">
        <f t="shared" si="332"/>
        <v>0</v>
      </c>
    </row>
    <row r="1085" spans="1:24" s="307" customFormat="1" ht="51" x14ac:dyDescent="0.2">
      <c r="A1085" s="746" t="s">
        <v>784</v>
      </c>
      <c r="B1085" s="306" t="s">
        <v>180</v>
      </c>
      <c r="C1085" s="354" t="s">
        <v>8</v>
      </c>
      <c r="D1085" s="354" t="s">
        <v>8</v>
      </c>
      <c r="E1085" s="450">
        <v>7820173050</v>
      </c>
      <c r="F1085" s="450"/>
      <c r="G1085" s="591">
        <f>SUM(G1086:G1088)</f>
        <v>2703.3</v>
      </c>
      <c r="H1085" s="591">
        <f>SUM(H1086:H1088)</f>
        <v>0</v>
      </c>
      <c r="I1085" s="591">
        <f>SUM(I1086:I1088)</f>
        <v>2695.39545</v>
      </c>
      <c r="J1085" s="591">
        <f>SUM(J1086:J1088)</f>
        <v>0</v>
      </c>
      <c r="K1085" s="591">
        <f t="shared" si="333"/>
        <v>-7.9045500000001994</v>
      </c>
      <c r="L1085" s="591">
        <f t="shared" si="334"/>
        <v>0</v>
      </c>
      <c r="M1085" s="217">
        <f t="shared" si="347"/>
        <v>0</v>
      </c>
      <c r="N1085" s="308">
        <f>SUM(N1086:N1088)</f>
        <v>2473.1999999999998</v>
      </c>
      <c r="R1085" s="591">
        <f>SUM(R1086:R1088)</f>
        <v>2282.1999999999998</v>
      </c>
      <c r="S1085" s="591">
        <f>SUM(S1086:S1088)</f>
        <v>0</v>
      </c>
      <c r="T1085" s="309">
        <f t="shared" si="351"/>
        <v>-7.9045500000001994</v>
      </c>
      <c r="U1085" s="498">
        <f>SUM(U1086:U1088)</f>
        <v>2188.3000000000002</v>
      </c>
      <c r="V1085" s="498">
        <f>SUM(V1086:V1088)</f>
        <v>0</v>
      </c>
      <c r="W1085" s="310">
        <f t="shared" si="331"/>
        <v>7.9045500000001994</v>
      </c>
      <c r="X1085" s="310">
        <f t="shared" si="332"/>
        <v>0</v>
      </c>
    </row>
    <row r="1086" spans="1:24" ht="27.75" hidden="1" customHeight="1" x14ac:dyDescent="0.2">
      <c r="A1086" s="124" t="s">
        <v>835</v>
      </c>
      <c r="B1086" s="243" t="s">
        <v>180</v>
      </c>
      <c r="C1086" s="353" t="s">
        <v>8</v>
      </c>
      <c r="D1086" s="353" t="s">
        <v>8</v>
      </c>
      <c r="E1086" s="369">
        <v>7820173050</v>
      </c>
      <c r="F1086" s="369" t="s">
        <v>301</v>
      </c>
      <c r="G1086" s="713">
        <v>41.88</v>
      </c>
      <c r="H1086" s="288"/>
      <c r="I1086" s="713">
        <v>0</v>
      </c>
      <c r="J1086" s="288"/>
      <c r="K1086" s="43">
        <f t="shared" si="333"/>
        <v>-41.88</v>
      </c>
      <c r="L1086" s="43">
        <f t="shared" si="334"/>
        <v>0</v>
      </c>
      <c r="M1086" s="217">
        <f t="shared" si="347"/>
        <v>0</v>
      </c>
      <c r="N1086" s="171">
        <v>124.386</v>
      </c>
      <c r="R1086" s="288">
        <v>0</v>
      </c>
      <c r="S1086" s="288"/>
      <c r="T1086" s="217">
        <f t="shared" si="351"/>
        <v>-41.88</v>
      </c>
      <c r="U1086" s="288">
        <v>46.1</v>
      </c>
      <c r="V1086" s="288">
        <v>0</v>
      </c>
      <c r="W1086" s="203">
        <f t="shared" si="331"/>
        <v>41.88</v>
      </c>
      <c r="X1086" s="203">
        <f t="shared" si="332"/>
        <v>0</v>
      </c>
    </row>
    <row r="1087" spans="1:24" ht="15" x14ac:dyDescent="0.2">
      <c r="A1087" s="739" t="s">
        <v>125</v>
      </c>
      <c r="B1087" s="243" t="s">
        <v>180</v>
      </c>
      <c r="C1087" s="353" t="s">
        <v>8</v>
      </c>
      <c r="D1087" s="353" t="s">
        <v>8</v>
      </c>
      <c r="E1087" s="369">
        <v>7820173050</v>
      </c>
      <c r="F1087" s="369" t="s">
        <v>123</v>
      </c>
      <c r="G1087" s="288">
        <v>1578.18</v>
      </c>
      <c r="H1087" s="288"/>
      <c r="I1087" s="288">
        <v>1612.15545</v>
      </c>
      <c r="J1087" s="288"/>
      <c r="K1087" s="43">
        <f t="shared" si="333"/>
        <v>33.97544999999991</v>
      </c>
      <c r="L1087" s="43">
        <f t="shared" si="334"/>
        <v>0</v>
      </c>
      <c r="M1087" s="217">
        <f t="shared" si="347"/>
        <v>0</v>
      </c>
      <c r="N1087" s="171">
        <v>371.952</v>
      </c>
      <c r="R1087" s="288">
        <v>1356.856</v>
      </c>
      <c r="S1087" s="288"/>
      <c r="T1087" s="217">
        <f t="shared" si="351"/>
        <v>33.97544999999991</v>
      </c>
      <c r="U1087" s="288">
        <v>1144.3620900000001</v>
      </c>
      <c r="V1087" s="288">
        <v>0</v>
      </c>
      <c r="W1087" s="203">
        <f t="shared" si="331"/>
        <v>-33.97544999999991</v>
      </c>
      <c r="X1087" s="203">
        <f t="shared" si="332"/>
        <v>0</v>
      </c>
    </row>
    <row r="1088" spans="1:24" ht="15" x14ac:dyDescent="0.2">
      <c r="A1088" s="739" t="s">
        <v>126</v>
      </c>
      <c r="B1088" s="243" t="s">
        <v>180</v>
      </c>
      <c r="C1088" s="353" t="s">
        <v>8</v>
      </c>
      <c r="D1088" s="353" t="s">
        <v>8</v>
      </c>
      <c r="E1088" s="369">
        <v>7820173050</v>
      </c>
      <c r="F1088" s="369" t="s">
        <v>124</v>
      </c>
      <c r="G1088" s="288">
        <v>1083.24</v>
      </c>
      <c r="H1088" s="288"/>
      <c r="I1088" s="288">
        <v>1083.24</v>
      </c>
      <c r="J1088" s="288"/>
      <c r="K1088" s="43">
        <f t="shared" si="333"/>
        <v>0</v>
      </c>
      <c r="L1088" s="43">
        <f t="shared" si="334"/>
        <v>0</v>
      </c>
      <c r="M1088" s="217">
        <f t="shared" si="347"/>
        <v>0</v>
      </c>
      <c r="N1088" s="171">
        <v>1976.8620000000001</v>
      </c>
      <c r="R1088" s="288">
        <v>925.34400000000005</v>
      </c>
      <c r="S1088" s="288"/>
      <c r="T1088" s="217">
        <f t="shared" si="351"/>
        <v>0</v>
      </c>
      <c r="U1088" s="288">
        <v>997.83790999999997</v>
      </c>
      <c r="V1088" s="288">
        <v>0</v>
      </c>
      <c r="W1088" s="203">
        <f t="shared" si="331"/>
        <v>0</v>
      </c>
      <c r="X1088" s="203">
        <f t="shared" si="332"/>
        <v>0</v>
      </c>
    </row>
    <row r="1089" spans="1:24" s="307" customFormat="1" ht="15" x14ac:dyDescent="0.2">
      <c r="A1089" s="746" t="s">
        <v>728</v>
      </c>
      <c r="B1089" s="306" t="s">
        <v>180</v>
      </c>
      <c r="C1089" s="354" t="s">
        <v>8</v>
      </c>
      <c r="D1089" s="354" t="s">
        <v>8</v>
      </c>
      <c r="E1089" s="450">
        <v>7820173140</v>
      </c>
      <c r="F1089" s="450"/>
      <c r="G1089" s="591">
        <f>G1090+G1091+G1092</f>
        <v>4354.5999999999995</v>
      </c>
      <c r="H1089" s="591">
        <f>H1090+H1091+H1092</f>
        <v>0</v>
      </c>
      <c r="I1089" s="591">
        <f>I1090+I1091+I1092</f>
        <v>4343.1822000000002</v>
      </c>
      <c r="J1089" s="591">
        <f>J1090+J1091+J1092</f>
        <v>0</v>
      </c>
      <c r="K1089" s="591">
        <f t="shared" si="333"/>
        <v>-11.417799999999261</v>
      </c>
      <c r="L1089" s="591">
        <f t="shared" si="334"/>
        <v>0</v>
      </c>
      <c r="M1089" s="217">
        <f t="shared" si="347"/>
        <v>0</v>
      </c>
      <c r="N1089" s="308">
        <f>N1090+N1091+N1092</f>
        <v>2149.1</v>
      </c>
      <c r="R1089" s="591">
        <f>R1090+R1091+R1092</f>
        <v>3872.4494300000001</v>
      </c>
      <c r="S1089" s="591">
        <f>S1090+S1091+S1092</f>
        <v>0</v>
      </c>
      <c r="T1089" s="309">
        <f t="shared" si="351"/>
        <v>-11.417799999999261</v>
      </c>
      <c r="U1089" s="498">
        <f>U1090+U1091+U1092</f>
        <v>2916.1681000000003</v>
      </c>
      <c r="V1089" s="498">
        <f>V1090+V1091+V1092</f>
        <v>0</v>
      </c>
      <c r="W1089" s="310">
        <f t="shared" ref="W1089:W1103" si="352">G1089-I1089</f>
        <v>11.417799999999261</v>
      </c>
      <c r="X1089" s="310">
        <f t="shared" ref="X1089:X1103" si="353">K1089+W1089</f>
        <v>0</v>
      </c>
    </row>
    <row r="1090" spans="1:24" ht="16.5" hidden="1" customHeight="1" x14ac:dyDescent="0.2">
      <c r="A1090" s="124" t="s">
        <v>835</v>
      </c>
      <c r="B1090" s="243" t="s">
        <v>180</v>
      </c>
      <c r="C1090" s="353" t="s">
        <v>8</v>
      </c>
      <c r="D1090" s="353" t="s">
        <v>8</v>
      </c>
      <c r="E1090" s="369">
        <v>7820173140</v>
      </c>
      <c r="F1090" s="369" t="s">
        <v>301</v>
      </c>
      <c r="G1090" s="713">
        <v>151.29599999999999</v>
      </c>
      <c r="H1090" s="288"/>
      <c r="I1090" s="713">
        <v>0</v>
      </c>
      <c r="J1090" s="288"/>
      <c r="K1090" s="43">
        <f t="shared" si="333"/>
        <v>-151.29599999999999</v>
      </c>
      <c r="L1090" s="43">
        <f t="shared" si="334"/>
        <v>0</v>
      </c>
      <c r="M1090" s="217">
        <f t="shared" si="347"/>
        <v>0</v>
      </c>
      <c r="N1090" s="171">
        <v>1701.1</v>
      </c>
      <c r="R1090" s="288">
        <v>122.72499999999999</v>
      </c>
      <c r="S1090" s="288"/>
      <c r="T1090" s="217">
        <f t="shared" si="351"/>
        <v>-151.29599999999999</v>
      </c>
      <c r="U1090" s="288">
        <v>2119.1654600000002</v>
      </c>
      <c r="V1090" s="288">
        <v>0</v>
      </c>
      <c r="W1090" s="203">
        <f t="shared" si="352"/>
        <v>151.29599999999999</v>
      </c>
      <c r="X1090" s="203">
        <f t="shared" si="353"/>
        <v>0</v>
      </c>
    </row>
    <row r="1091" spans="1:24" ht="15" x14ac:dyDescent="0.2">
      <c r="A1091" s="739" t="s">
        <v>125</v>
      </c>
      <c r="B1091" s="243" t="s">
        <v>180</v>
      </c>
      <c r="C1091" s="353" t="s">
        <v>8</v>
      </c>
      <c r="D1091" s="353" t="s">
        <v>8</v>
      </c>
      <c r="E1091" s="369">
        <v>7820173140</v>
      </c>
      <c r="F1091" s="369" t="s">
        <v>123</v>
      </c>
      <c r="G1091" s="288">
        <v>3198.8319999999999</v>
      </c>
      <c r="H1091" s="288"/>
      <c r="I1091" s="288">
        <v>3832.4621999999999</v>
      </c>
      <c r="J1091" s="288"/>
      <c r="K1091" s="43">
        <f t="shared" si="333"/>
        <v>633.63020000000006</v>
      </c>
      <c r="L1091" s="43">
        <f t="shared" si="334"/>
        <v>0</v>
      </c>
      <c r="M1091" s="217">
        <f t="shared" si="347"/>
        <v>0</v>
      </c>
      <c r="N1091" s="171">
        <v>130.19999999999999</v>
      </c>
      <c r="P1091" s="167">
        <v>3999.0880099999999</v>
      </c>
      <c r="R1091" s="288">
        <v>2824.2844300000002</v>
      </c>
      <c r="S1091" s="288"/>
      <c r="T1091" s="217">
        <f t="shared" si="351"/>
        <v>633.63020000000006</v>
      </c>
      <c r="U1091" s="288">
        <v>797.00264000000004</v>
      </c>
      <c r="V1091" s="288">
        <v>0</v>
      </c>
      <c r="W1091" s="203">
        <f t="shared" si="352"/>
        <v>-633.63020000000006</v>
      </c>
      <c r="X1091" s="203">
        <f t="shared" si="353"/>
        <v>0</v>
      </c>
    </row>
    <row r="1092" spans="1:24" ht="15" x14ac:dyDescent="0.2">
      <c r="A1092" s="739" t="s">
        <v>126</v>
      </c>
      <c r="B1092" s="243" t="s">
        <v>180</v>
      </c>
      <c r="C1092" s="353" t="s">
        <v>8</v>
      </c>
      <c r="D1092" s="353" t="s">
        <v>8</v>
      </c>
      <c r="E1092" s="369">
        <v>7820173140</v>
      </c>
      <c r="F1092" s="369" t="s">
        <v>124</v>
      </c>
      <c r="G1092" s="288">
        <v>1004.472</v>
      </c>
      <c r="H1092" s="288"/>
      <c r="I1092" s="288">
        <v>510.72</v>
      </c>
      <c r="J1092" s="288"/>
      <c r="K1092" s="43">
        <f t="shared" si="333"/>
        <v>-493.75199999999995</v>
      </c>
      <c r="L1092" s="43">
        <f t="shared" si="334"/>
        <v>0</v>
      </c>
      <c r="M1092" s="217">
        <f t="shared" si="347"/>
        <v>0</v>
      </c>
      <c r="N1092" s="171">
        <v>317.8</v>
      </c>
      <c r="R1092" s="288">
        <v>925.44</v>
      </c>
      <c r="S1092" s="288"/>
      <c r="T1092" s="217">
        <f t="shared" si="351"/>
        <v>-493.75199999999995</v>
      </c>
      <c r="U1092" s="288">
        <v>0</v>
      </c>
      <c r="V1092" s="288">
        <v>0</v>
      </c>
      <c r="W1092" s="203">
        <f t="shared" si="352"/>
        <v>493.75199999999995</v>
      </c>
      <c r="X1092" s="203">
        <f t="shared" si="353"/>
        <v>0</v>
      </c>
    </row>
    <row r="1093" spans="1:24" ht="25.5" hidden="1" x14ac:dyDescent="0.2">
      <c r="A1093" s="133" t="s">
        <v>1297</v>
      </c>
      <c r="B1093" s="388" t="s">
        <v>180</v>
      </c>
      <c r="C1093" s="389" t="s">
        <v>8</v>
      </c>
      <c r="D1093" s="389" t="s">
        <v>8</v>
      </c>
      <c r="E1093" s="390">
        <v>8200000000</v>
      </c>
      <c r="F1093" s="390"/>
      <c r="G1093" s="391">
        <f>G1094</f>
        <v>0</v>
      </c>
      <c r="H1093" s="391"/>
      <c r="I1093" s="391">
        <f>I1094</f>
        <v>0</v>
      </c>
      <c r="J1093" s="391"/>
      <c r="K1093" s="43">
        <f t="shared" si="333"/>
        <v>0</v>
      </c>
      <c r="L1093" s="43">
        <f t="shared" si="334"/>
        <v>0</v>
      </c>
      <c r="M1093" s="217"/>
      <c r="N1093" s="171"/>
      <c r="R1093" s="288"/>
      <c r="S1093" s="288"/>
      <c r="T1093" s="217"/>
      <c r="U1093" s="288"/>
      <c r="V1093" s="288"/>
      <c r="W1093" s="203"/>
      <c r="X1093" s="203"/>
    </row>
    <row r="1094" spans="1:24" ht="15" hidden="1" x14ac:dyDescent="0.2">
      <c r="A1094" s="133" t="s">
        <v>733</v>
      </c>
      <c r="B1094" s="388" t="s">
        <v>180</v>
      </c>
      <c r="C1094" s="389" t="s">
        <v>8</v>
      </c>
      <c r="D1094" s="389" t="s">
        <v>8</v>
      </c>
      <c r="E1094" s="390">
        <v>8200700000</v>
      </c>
      <c r="F1094" s="390"/>
      <c r="G1094" s="391">
        <f>G1095</f>
        <v>0</v>
      </c>
      <c r="H1094" s="391"/>
      <c r="I1094" s="391">
        <f>I1095</f>
        <v>0</v>
      </c>
      <c r="J1094" s="391"/>
      <c r="K1094" s="43">
        <f t="shared" ref="K1094:K1163" si="354">I1094-G1094</f>
        <v>0</v>
      </c>
      <c r="L1094" s="43">
        <f t="shared" ref="L1094:L1163" si="355">J1094-H1094</f>
        <v>0</v>
      </c>
      <c r="M1094" s="217"/>
      <c r="N1094" s="171"/>
      <c r="R1094" s="288"/>
      <c r="S1094" s="288"/>
      <c r="T1094" s="217"/>
      <c r="U1094" s="288"/>
      <c r="V1094" s="288"/>
      <c r="W1094" s="203"/>
      <c r="X1094" s="203"/>
    </row>
    <row r="1095" spans="1:24" ht="15" hidden="1" x14ac:dyDescent="0.2">
      <c r="A1095" s="133" t="s">
        <v>734</v>
      </c>
      <c r="B1095" s="388" t="s">
        <v>180</v>
      </c>
      <c r="C1095" s="389" t="s">
        <v>8</v>
      </c>
      <c r="D1095" s="389" t="s">
        <v>8</v>
      </c>
      <c r="E1095" s="390">
        <v>8200782460</v>
      </c>
      <c r="F1095" s="390"/>
      <c r="G1095" s="391">
        <f>G1096</f>
        <v>0</v>
      </c>
      <c r="H1095" s="391"/>
      <c r="I1095" s="391">
        <f>I1096</f>
        <v>0</v>
      </c>
      <c r="J1095" s="391"/>
      <c r="K1095" s="43">
        <f t="shared" si="354"/>
        <v>0</v>
      </c>
      <c r="L1095" s="43">
        <f t="shared" si="355"/>
        <v>0</v>
      </c>
      <c r="M1095" s="217"/>
      <c r="N1095" s="171"/>
      <c r="R1095" s="288"/>
      <c r="S1095" s="288"/>
      <c r="T1095" s="217"/>
      <c r="U1095" s="288"/>
      <c r="V1095" s="288"/>
      <c r="W1095" s="203"/>
      <c r="X1095" s="203"/>
    </row>
    <row r="1096" spans="1:24" ht="15" hidden="1" x14ac:dyDescent="0.2">
      <c r="A1096" s="186" t="s">
        <v>834</v>
      </c>
      <c r="B1096" s="243" t="s">
        <v>180</v>
      </c>
      <c r="C1096" s="353" t="s">
        <v>8</v>
      </c>
      <c r="D1096" s="353" t="s">
        <v>8</v>
      </c>
      <c r="E1096" s="369">
        <v>8200782460</v>
      </c>
      <c r="F1096" s="369">
        <v>244</v>
      </c>
      <c r="G1096" s="288">
        <v>0</v>
      </c>
      <c r="H1096" s="288"/>
      <c r="I1096" s="288">
        <v>0</v>
      </c>
      <c r="J1096" s="288"/>
      <c r="K1096" s="43">
        <f t="shared" si="354"/>
        <v>0</v>
      </c>
      <c r="L1096" s="43">
        <f t="shared" si="355"/>
        <v>0</v>
      </c>
      <c r="M1096" s="217"/>
      <c r="N1096" s="171"/>
      <c r="R1096" s="288"/>
      <c r="S1096" s="288"/>
      <c r="T1096" s="217"/>
      <c r="U1096" s="288"/>
      <c r="V1096" s="288"/>
      <c r="W1096" s="203"/>
      <c r="X1096" s="203"/>
    </row>
    <row r="1097" spans="1:24" s="307" customFormat="1" ht="15" x14ac:dyDescent="0.2">
      <c r="A1097" s="746" t="s">
        <v>288</v>
      </c>
      <c r="B1097" s="306" t="s">
        <v>180</v>
      </c>
      <c r="C1097" s="354" t="s">
        <v>8</v>
      </c>
      <c r="D1097" s="354" t="s">
        <v>613</v>
      </c>
      <c r="E1097" s="450"/>
      <c r="F1097" s="450"/>
      <c r="G1097" s="591">
        <f t="shared" ref="G1097:L1097" si="356">G1102+G1175+G1196+G1192+G1171+G1151+G1098</f>
        <v>69713.967079999988</v>
      </c>
      <c r="H1097" s="591">
        <f t="shared" si="356"/>
        <v>0</v>
      </c>
      <c r="I1097" s="591">
        <f t="shared" si="356"/>
        <v>92016.234199999977</v>
      </c>
      <c r="J1097" s="591">
        <f t="shared" si="356"/>
        <v>78</v>
      </c>
      <c r="K1097" s="591">
        <f t="shared" si="356"/>
        <v>22302.26711999999</v>
      </c>
      <c r="L1097" s="591">
        <f t="shared" si="356"/>
        <v>78</v>
      </c>
      <c r="M1097" s="217">
        <f t="shared" si="347"/>
        <v>0</v>
      </c>
      <c r="N1097" s="292" t="e">
        <f>N1102+#REF!+N1196</f>
        <v>#REF!</v>
      </c>
      <c r="R1097" s="591">
        <f>R1102+R1175+R1196+R1192+R1171+R1151</f>
        <v>90905.547350000008</v>
      </c>
      <c r="S1097" s="591">
        <f>S1102+S1175+S1196+S1192+S1171+S1151</f>
        <v>0</v>
      </c>
      <c r="T1097" s="309">
        <f>I1097-G1097</f>
        <v>22302.26711999999</v>
      </c>
      <c r="U1097" s="498" t="e">
        <f>U1102+U1175+U1196+U1192</f>
        <v>#REF!</v>
      </c>
      <c r="V1097" s="498" t="e">
        <f>V1102+V1175+V1196+V1192</f>
        <v>#REF!</v>
      </c>
      <c r="W1097" s="310">
        <f t="shared" si="352"/>
        <v>-22302.26711999999</v>
      </c>
      <c r="X1097" s="310">
        <f t="shared" si="353"/>
        <v>0</v>
      </c>
    </row>
    <row r="1098" spans="1:24" s="307" customFormat="1" ht="25.5" x14ac:dyDescent="0.2">
      <c r="A1098" s="746" t="s">
        <v>1350</v>
      </c>
      <c r="B1098" s="306" t="s">
        <v>180</v>
      </c>
      <c r="C1098" s="354" t="s">
        <v>8</v>
      </c>
      <c r="D1098" s="354" t="s">
        <v>613</v>
      </c>
      <c r="E1098" s="697">
        <v>7000000000</v>
      </c>
      <c r="F1098" s="697"/>
      <c r="G1098" s="591">
        <f>G1099</f>
        <v>759.73800000000006</v>
      </c>
      <c r="H1098" s="591">
        <f t="shared" ref="H1098:L1100" si="357">H1099</f>
        <v>0</v>
      </c>
      <c r="I1098" s="591">
        <f t="shared" si="357"/>
        <v>759.73800000000006</v>
      </c>
      <c r="J1098" s="591">
        <f t="shared" si="357"/>
        <v>0</v>
      </c>
      <c r="K1098" s="591">
        <f t="shared" si="357"/>
        <v>0</v>
      </c>
      <c r="L1098" s="591">
        <f t="shared" si="357"/>
        <v>0</v>
      </c>
      <c r="M1098" s="217"/>
      <c r="N1098" s="292"/>
      <c r="R1098" s="591"/>
      <c r="S1098" s="591"/>
      <c r="T1098" s="309"/>
      <c r="U1098" s="591"/>
      <c r="V1098" s="591"/>
      <c r="W1098" s="310"/>
      <c r="X1098" s="310"/>
    </row>
    <row r="1099" spans="1:24" s="307" customFormat="1" ht="25.5" x14ac:dyDescent="0.2">
      <c r="A1099" s="746" t="s">
        <v>1354</v>
      </c>
      <c r="B1099" s="306" t="s">
        <v>180</v>
      </c>
      <c r="C1099" s="354" t="s">
        <v>8</v>
      </c>
      <c r="D1099" s="354" t="s">
        <v>613</v>
      </c>
      <c r="E1099" s="697">
        <v>7000300000</v>
      </c>
      <c r="F1099" s="697"/>
      <c r="G1099" s="591">
        <f>G1100</f>
        <v>759.73800000000006</v>
      </c>
      <c r="H1099" s="591">
        <f t="shared" si="357"/>
        <v>0</v>
      </c>
      <c r="I1099" s="591">
        <f t="shared" si="357"/>
        <v>759.73800000000006</v>
      </c>
      <c r="J1099" s="591">
        <f t="shared" si="357"/>
        <v>0</v>
      </c>
      <c r="K1099" s="591">
        <f t="shared" si="357"/>
        <v>0</v>
      </c>
      <c r="L1099" s="591">
        <f t="shared" si="357"/>
        <v>0</v>
      </c>
      <c r="M1099" s="217"/>
      <c r="N1099" s="292"/>
      <c r="R1099" s="591"/>
      <c r="S1099" s="591"/>
      <c r="T1099" s="309"/>
      <c r="U1099" s="591"/>
      <c r="V1099" s="591"/>
      <c r="W1099" s="310"/>
      <c r="X1099" s="310"/>
    </row>
    <row r="1100" spans="1:24" s="307" customFormat="1" ht="15" x14ac:dyDescent="0.2">
      <c r="A1100" s="746" t="s">
        <v>1352</v>
      </c>
      <c r="B1100" s="306" t="s">
        <v>180</v>
      </c>
      <c r="C1100" s="354" t="s">
        <v>8</v>
      </c>
      <c r="D1100" s="354" t="s">
        <v>613</v>
      </c>
      <c r="E1100" s="697">
        <v>7000382030</v>
      </c>
      <c r="F1100" s="697"/>
      <c r="G1100" s="591">
        <f>G1101</f>
        <v>759.73800000000006</v>
      </c>
      <c r="H1100" s="591">
        <f t="shared" si="357"/>
        <v>0</v>
      </c>
      <c r="I1100" s="591">
        <f t="shared" si="357"/>
        <v>759.73800000000006</v>
      </c>
      <c r="J1100" s="591">
        <f t="shared" si="357"/>
        <v>0</v>
      </c>
      <c r="K1100" s="591">
        <f t="shared" si="357"/>
        <v>0</v>
      </c>
      <c r="L1100" s="591">
        <f t="shared" si="357"/>
        <v>0</v>
      </c>
      <c r="M1100" s="217"/>
      <c r="N1100" s="292"/>
      <c r="R1100" s="591"/>
      <c r="S1100" s="591"/>
      <c r="T1100" s="309"/>
      <c r="U1100" s="591"/>
      <c r="V1100" s="591"/>
      <c r="W1100" s="310"/>
      <c r="X1100" s="310"/>
    </row>
    <row r="1101" spans="1:24" s="307" customFormat="1" ht="25.5" x14ac:dyDescent="0.2">
      <c r="A1101" s="744" t="s">
        <v>646</v>
      </c>
      <c r="B1101" s="243" t="s">
        <v>180</v>
      </c>
      <c r="C1101" s="353" t="s">
        <v>8</v>
      </c>
      <c r="D1101" s="353" t="s">
        <v>613</v>
      </c>
      <c r="E1101" s="369">
        <v>7000382030</v>
      </c>
      <c r="F1101" s="369">
        <v>621</v>
      </c>
      <c r="G1101" s="288">
        <v>759.73800000000006</v>
      </c>
      <c r="H1101" s="288"/>
      <c r="I1101" s="288">
        <v>759.73800000000006</v>
      </c>
      <c r="J1101" s="288"/>
      <c r="K1101" s="43">
        <f>I1101-G1101</f>
        <v>0</v>
      </c>
      <c r="L1101" s="43">
        <f>J1101-H1101</f>
        <v>0</v>
      </c>
      <c r="M1101" s="217"/>
      <c r="N1101" s="292"/>
      <c r="R1101" s="591"/>
      <c r="S1101" s="591"/>
      <c r="T1101" s="309"/>
      <c r="U1101" s="591"/>
      <c r="V1101" s="591"/>
      <c r="W1101" s="310"/>
      <c r="X1101" s="310"/>
    </row>
    <row r="1102" spans="1:24" s="307" customFormat="1" ht="15" x14ac:dyDescent="0.2">
      <c r="A1102" s="746" t="s">
        <v>349</v>
      </c>
      <c r="B1102" s="306" t="s">
        <v>180</v>
      </c>
      <c r="C1102" s="354" t="s">
        <v>8</v>
      </c>
      <c r="D1102" s="354" t="s">
        <v>613</v>
      </c>
      <c r="E1102" s="450" t="s">
        <v>351</v>
      </c>
      <c r="F1102" s="450"/>
      <c r="G1102" s="591">
        <f>G1107+G1103</f>
        <v>63579.267239999994</v>
      </c>
      <c r="H1102" s="591">
        <f>H1107+H1103</f>
        <v>0</v>
      </c>
      <c r="I1102" s="591">
        <f>I1107+I1103</f>
        <v>85336.671769999986</v>
      </c>
      <c r="J1102" s="591">
        <f>J1107+J1103</f>
        <v>0</v>
      </c>
      <c r="K1102" s="591">
        <f t="shared" si="354"/>
        <v>21757.404529999993</v>
      </c>
      <c r="L1102" s="591">
        <f t="shared" si="355"/>
        <v>0</v>
      </c>
      <c r="M1102" s="217">
        <f t="shared" si="347"/>
        <v>0</v>
      </c>
      <c r="N1102" s="292" t="e">
        <f>#REF!+N1107</f>
        <v>#REF!</v>
      </c>
      <c r="R1102" s="591">
        <f>R1107+R1103</f>
        <v>86676.977970000007</v>
      </c>
      <c r="S1102" s="591">
        <f>S1107+S1103</f>
        <v>0</v>
      </c>
      <c r="T1102" s="309">
        <f>I1102-G1102</f>
        <v>21757.404529999993</v>
      </c>
      <c r="U1102" s="498">
        <f>U1107+U1103</f>
        <v>49526.763609999995</v>
      </c>
      <c r="V1102" s="498">
        <f>V1107+V1103</f>
        <v>3812.21234</v>
      </c>
      <c r="W1102" s="310">
        <f t="shared" si="352"/>
        <v>-21757.404529999993</v>
      </c>
      <c r="X1102" s="310">
        <f t="shared" si="353"/>
        <v>0</v>
      </c>
    </row>
    <row r="1103" spans="1:24" s="307" customFormat="1" ht="15" hidden="1" x14ac:dyDescent="0.2">
      <c r="A1103" s="504" t="s">
        <v>353</v>
      </c>
      <c r="B1103" s="306" t="s">
        <v>180</v>
      </c>
      <c r="C1103" s="354" t="s">
        <v>8</v>
      </c>
      <c r="D1103" s="354" t="s">
        <v>613</v>
      </c>
      <c r="E1103" s="495" t="s">
        <v>354</v>
      </c>
      <c r="F1103" s="495"/>
      <c r="G1103" s="498">
        <f t="shared" ref="G1103:J1105" si="358">G1104</f>
        <v>0</v>
      </c>
      <c r="H1103" s="498">
        <f t="shared" si="358"/>
        <v>0</v>
      </c>
      <c r="I1103" s="591">
        <f t="shared" si="358"/>
        <v>0</v>
      </c>
      <c r="J1103" s="591">
        <f t="shared" si="358"/>
        <v>0</v>
      </c>
      <c r="K1103" s="591">
        <f t="shared" si="354"/>
        <v>0</v>
      </c>
      <c r="L1103" s="591">
        <f t="shared" si="355"/>
        <v>0</v>
      </c>
      <c r="M1103" s="217">
        <f t="shared" si="347"/>
        <v>0</v>
      </c>
      <c r="N1103" s="292" t="e">
        <f>N1104+#REF!+N1189</f>
        <v>#REF!</v>
      </c>
      <c r="R1103" s="591">
        <f t="shared" ref="R1103:S1105" si="359">R1104</f>
        <v>0</v>
      </c>
      <c r="S1103" s="591">
        <f t="shared" si="359"/>
        <v>0</v>
      </c>
      <c r="T1103" s="309">
        <f>I1103-G1103</f>
        <v>0</v>
      </c>
      <c r="U1103" s="498">
        <f t="shared" ref="U1103:V1105" si="360">U1104</f>
        <v>3929.3069999999998</v>
      </c>
      <c r="V1103" s="498">
        <f t="shared" si="360"/>
        <v>3812.21234</v>
      </c>
      <c r="W1103" s="310">
        <f t="shared" si="352"/>
        <v>0</v>
      </c>
      <c r="X1103" s="310">
        <f t="shared" si="353"/>
        <v>0</v>
      </c>
    </row>
    <row r="1104" spans="1:24" ht="15.75" hidden="1" customHeight="1" x14ac:dyDescent="0.2">
      <c r="A1104" s="504" t="s">
        <v>1395</v>
      </c>
      <c r="B1104" s="306" t="s">
        <v>180</v>
      </c>
      <c r="C1104" s="354" t="s">
        <v>8</v>
      </c>
      <c r="D1104" s="354" t="s">
        <v>613</v>
      </c>
      <c r="E1104" s="492" t="s">
        <v>1393</v>
      </c>
      <c r="F1104" s="495"/>
      <c r="G1104" s="498">
        <f t="shared" si="358"/>
        <v>0</v>
      </c>
      <c r="H1104" s="498">
        <f t="shared" si="358"/>
        <v>0</v>
      </c>
      <c r="I1104" s="591">
        <f t="shared" si="358"/>
        <v>0</v>
      </c>
      <c r="J1104" s="591">
        <f t="shared" si="358"/>
        <v>0</v>
      </c>
      <c r="K1104" s="591">
        <f t="shared" si="354"/>
        <v>0</v>
      </c>
      <c r="L1104" s="591">
        <f t="shared" si="355"/>
        <v>0</v>
      </c>
      <c r="M1104" s="217">
        <f>I1104-G1104-K1104</f>
        <v>0</v>
      </c>
      <c r="N1104" s="171"/>
      <c r="P1104" s="245"/>
      <c r="Q1104" s="245"/>
      <c r="R1104" s="591">
        <f t="shared" si="359"/>
        <v>0</v>
      </c>
      <c r="S1104" s="591">
        <f t="shared" si="359"/>
        <v>0</v>
      </c>
      <c r="T1104" s="217"/>
      <c r="U1104" s="498">
        <f t="shared" si="360"/>
        <v>3929.3069999999998</v>
      </c>
      <c r="V1104" s="498">
        <f t="shared" si="360"/>
        <v>3812.21234</v>
      </c>
      <c r="W1104" s="203"/>
      <c r="X1104" s="203"/>
    </row>
    <row r="1105" spans="1:24" ht="26.25" hidden="1" customHeight="1" x14ac:dyDescent="0.2">
      <c r="A1105" s="504" t="s">
        <v>710</v>
      </c>
      <c r="B1105" s="306" t="s">
        <v>180</v>
      </c>
      <c r="C1105" s="354" t="s">
        <v>8</v>
      </c>
      <c r="D1105" s="354" t="s">
        <v>613</v>
      </c>
      <c r="E1105" s="492" t="s">
        <v>1394</v>
      </c>
      <c r="F1105" s="495"/>
      <c r="G1105" s="498">
        <f t="shared" si="358"/>
        <v>0</v>
      </c>
      <c r="H1105" s="498">
        <f t="shared" si="358"/>
        <v>0</v>
      </c>
      <c r="I1105" s="591">
        <f t="shared" si="358"/>
        <v>0</v>
      </c>
      <c r="J1105" s="591">
        <f t="shared" si="358"/>
        <v>0</v>
      </c>
      <c r="K1105" s="591">
        <f t="shared" si="354"/>
        <v>0</v>
      </c>
      <c r="L1105" s="591">
        <f t="shared" si="355"/>
        <v>0</v>
      </c>
      <c r="M1105" s="217">
        <f>I1105-G1105-K1105</f>
        <v>0</v>
      </c>
      <c r="N1105" s="171"/>
      <c r="P1105" s="245"/>
      <c r="Q1105" s="245"/>
      <c r="R1105" s="591">
        <f t="shared" si="359"/>
        <v>0</v>
      </c>
      <c r="S1105" s="591">
        <f t="shared" si="359"/>
        <v>0</v>
      </c>
      <c r="T1105" s="217"/>
      <c r="U1105" s="498">
        <f t="shared" si="360"/>
        <v>3929.3069999999998</v>
      </c>
      <c r="V1105" s="498">
        <f t="shared" si="360"/>
        <v>3812.21234</v>
      </c>
      <c r="W1105" s="203"/>
      <c r="X1105" s="203"/>
    </row>
    <row r="1106" spans="1:24" ht="16.5" hidden="1" customHeight="1" x14ac:dyDescent="0.2">
      <c r="A1106" s="124" t="s">
        <v>126</v>
      </c>
      <c r="B1106" s="243" t="s">
        <v>180</v>
      </c>
      <c r="C1106" s="353" t="s">
        <v>8</v>
      </c>
      <c r="D1106" s="353" t="s">
        <v>613</v>
      </c>
      <c r="E1106" s="493" t="s">
        <v>1394</v>
      </c>
      <c r="F1106" s="369">
        <v>622</v>
      </c>
      <c r="G1106" s="288"/>
      <c r="H1106" s="265"/>
      <c r="I1106" s="288"/>
      <c r="J1106" s="265"/>
      <c r="K1106" s="43">
        <f t="shared" si="354"/>
        <v>0</v>
      </c>
      <c r="L1106" s="43">
        <f t="shared" si="355"/>
        <v>0</v>
      </c>
      <c r="M1106" s="217">
        <f>I1106-G1106-K1106</f>
        <v>0</v>
      </c>
      <c r="N1106" s="171"/>
      <c r="P1106" s="245"/>
      <c r="Q1106" s="245"/>
      <c r="R1106" s="288"/>
      <c r="S1106" s="265"/>
      <c r="T1106" s="217"/>
      <c r="U1106" s="288">
        <v>3929.3069999999998</v>
      </c>
      <c r="V1106" s="265">
        <v>3812.21234</v>
      </c>
      <c r="W1106" s="203"/>
      <c r="X1106" s="203"/>
    </row>
    <row r="1107" spans="1:24" s="307" customFormat="1" ht="25.5" x14ac:dyDescent="0.2">
      <c r="A1107" s="746" t="s">
        <v>1312</v>
      </c>
      <c r="B1107" s="306" t="s">
        <v>180</v>
      </c>
      <c r="C1107" s="354" t="s">
        <v>8</v>
      </c>
      <c r="D1107" s="354" t="s">
        <v>613</v>
      </c>
      <c r="E1107" s="450">
        <v>7850000000</v>
      </c>
      <c r="F1107" s="450"/>
      <c r="G1107" s="591">
        <f>G1108</f>
        <v>63579.267239999994</v>
      </c>
      <c r="H1107" s="591">
        <f>H1108</f>
        <v>0</v>
      </c>
      <c r="I1107" s="591">
        <f>I1108</f>
        <v>85336.671769999986</v>
      </c>
      <c r="J1107" s="591">
        <f>J1108</f>
        <v>0</v>
      </c>
      <c r="K1107" s="591">
        <f t="shared" si="354"/>
        <v>21757.404529999993</v>
      </c>
      <c r="L1107" s="591">
        <f t="shared" si="355"/>
        <v>0</v>
      </c>
      <c r="M1107" s="217">
        <f t="shared" si="347"/>
        <v>0</v>
      </c>
      <c r="N1107" s="292" t="e">
        <f>#REF!</f>
        <v>#REF!</v>
      </c>
      <c r="R1107" s="591">
        <f>R1108</f>
        <v>86676.977970000007</v>
      </c>
      <c r="S1107" s="591">
        <f>S1108</f>
        <v>0</v>
      </c>
      <c r="T1107" s="309">
        <f>I1107-G1107</f>
        <v>21757.404529999993</v>
      </c>
      <c r="U1107" s="498">
        <f>U1108</f>
        <v>45597.456609999994</v>
      </c>
      <c r="V1107" s="498">
        <f>V1108</f>
        <v>0</v>
      </c>
      <c r="W1107" s="310">
        <f>G1107-I1107</f>
        <v>-21757.404529999993</v>
      </c>
      <c r="X1107" s="310">
        <f>K1107+W1107</f>
        <v>0</v>
      </c>
    </row>
    <row r="1108" spans="1:24" s="307" customFormat="1" ht="15" x14ac:dyDescent="0.2">
      <c r="A1108" s="746" t="s">
        <v>1313</v>
      </c>
      <c r="B1108" s="306" t="s">
        <v>180</v>
      </c>
      <c r="C1108" s="354" t="s">
        <v>8</v>
      </c>
      <c r="D1108" s="354" t="s">
        <v>613</v>
      </c>
      <c r="E1108" s="450">
        <v>7850100000</v>
      </c>
      <c r="F1108" s="450"/>
      <c r="G1108" s="591">
        <f t="shared" ref="G1108:L1108" si="361">G1109+G1112+G1122+G1125+G1128+G1134+G1137+G1143+G1149+G1132</f>
        <v>63579.267239999994</v>
      </c>
      <c r="H1108" s="591">
        <f t="shared" si="361"/>
        <v>0</v>
      </c>
      <c r="I1108" s="591">
        <f t="shared" si="361"/>
        <v>85336.671769999986</v>
      </c>
      <c r="J1108" s="591">
        <f t="shared" si="361"/>
        <v>0</v>
      </c>
      <c r="K1108" s="591">
        <f t="shared" si="361"/>
        <v>21757.40453</v>
      </c>
      <c r="L1108" s="591">
        <f t="shared" si="361"/>
        <v>0</v>
      </c>
      <c r="M1108" s="217">
        <f t="shared" si="347"/>
        <v>0</v>
      </c>
      <c r="N1108" s="292"/>
      <c r="R1108" s="591">
        <f>R1109+R1112+R1122+R1125+R1128+R1134+R1137+R1143+R1149</f>
        <v>86676.977970000007</v>
      </c>
      <c r="S1108" s="591">
        <f>S1109+S1112+S1122+S1125+S1128+S1134+S1137+S1143+S1149</f>
        <v>0</v>
      </c>
      <c r="T1108" s="309"/>
      <c r="U1108" s="498">
        <f>U1109+U1112+U1122+U1125+U1128+U1134+U1137+U1143</f>
        <v>45597.456609999994</v>
      </c>
      <c r="V1108" s="498">
        <f>V1109+V1112+V1122+V1125+V1128+V1134+V1137+V1143</f>
        <v>0</v>
      </c>
      <c r="W1108" s="310"/>
      <c r="X1108" s="310"/>
    </row>
    <row r="1109" spans="1:24" s="307" customFormat="1" ht="15" x14ac:dyDescent="0.2">
      <c r="A1109" s="746" t="s">
        <v>190</v>
      </c>
      <c r="B1109" s="306" t="s">
        <v>180</v>
      </c>
      <c r="C1109" s="354" t="s">
        <v>8</v>
      </c>
      <c r="D1109" s="354" t="s">
        <v>613</v>
      </c>
      <c r="E1109" s="450">
        <v>7850113590</v>
      </c>
      <c r="F1109" s="450"/>
      <c r="G1109" s="591">
        <f>G1110+G1111</f>
        <v>26370.078079999999</v>
      </c>
      <c r="H1109" s="591">
        <f>H1110+H1111</f>
        <v>0</v>
      </c>
      <c r="I1109" s="591">
        <f>I1110+I1111</f>
        <v>29757.170139999998</v>
      </c>
      <c r="J1109" s="591">
        <f>J1110+J1111</f>
        <v>0</v>
      </c>
      <c r="K1109" s="591">
        <f t="shared" si="354"/>
        <v>3387.092059999999</v>
      </c>
      <c r="L1109" s="591">
        <f t="shared" si="355"/>
        <v>0</v>
      </c>
      <c r="M1109" s="217">
        <f t="shared" si="347"/>
        <v>0</v>
      </c>
      <c r="N1109" s="292"/>
      <c r="R1109" s="591">
        <f>R1110+R1111</f>
        <v>23201.96715</v>
      </c>
      <c r="S1109" s="591">
        <f>S1110+S1111</f>
        <v>0</v>
      </c>
      <c r="T1109" s="309"/>
      <c r="U1109" s="498">
        <f>U1110</f>
        <v>20876.04998</v>
      </c>
      <c r="V1109" s="498">
        <f>V1110</f>
        <v>0</v>
      </c>
      <c r="W1109" s="310"/>
      <c r="X1109" s="310"/>
    </row>
    <row r="1110" spans="1:24" s="307" customFormat="1" ht="25.5" x14ac:dyDescent="0.2">
      <c r="A1110" s="739" t="s">
        <v>646</v>
      </c>
      <c r="B1110" s="243" t="s">
        <v>180</v>
      </c>
      <c r="C1110" s="353" t="s">
        <v>8</v>
      </c>
      <c r="D1110" s="353" t="s">
        <v>613</v>
      </c>
      <c r="E1110" s="369">
        <v>7850113590</v>
      </c>
      <c r="F1110" s="369" t="s">
        <v>128</v>
      </c>
      <c r="G1110" s="288">
        <v>26370.078079999999</v>
      </c>
      <c r="H1110" s="288"/>
      <c r="I1110" s="288">
        <f>28657.17014+1100</f>
        <v>29757.170139999998</v>
      </c>
      <c r="J1110" s="288"/>
      <c r="K1110" s="43">
        <f t="shared" si="354"/>
        <v>3387.092059999999</v>
      </c>
      <c r="L1110" s="43">
        <f t="shared" si="355"/>
        <v>0</v>
      </c>
      <c r="M1110" s="217">
        <f t="shared" si="347"/>
        <v>0</v>
      </c>
      <c r="N1110" s="292"/>
      <c r="R1110" s="288">
        <v>22748.96715</v>
      </c>
      <c r="S1110" s="288"/>
      <c r="T1110" s="309"/>
      <c r="U1110" s="288">
        <v>20876.04998</v>
      </c>
      <c r="V1110" s="288">
        <v>0</v>
      </c>
      <c r="W1110" s="310"/>
      <c r="X1110" s="310"/>
    </row>
    <row r="1111" spans="1:24" s="307" customFormat="1" ht="15" hidden="1" x14ac:dyDescent="0.2">
      <c r="A1111" s="124" t="s">
        <v>126</v>
      </c>
      <c r="B1111" s="243" t="s">
        <v>180</v>
      </c>
      <c r="C1111" s="353" t="s">
        <v>8</v>
      </c>
      <c r="D1111" s="353" t="s">
        <v>613</v>
      </c>
      <c r="E1111" s="369">
        <v>7850113590</v>
      </c>
      <c r="F1111" s="369">
        <v>622</v>
      </c>
      <c r="G1111" s="288"/>
      <c r="H1111" s="288"/>
      <c r="I1111" s="288"/>
      <c r="J1111" s="288"/>
      <c r="K1111" s="43">
        <f t="shared" si="354"/>
        <v>0</v>
      </c>
      <c r="L1111" s="43">
        <f t="shared" si="355"/>
        <v>0</v>
      </c>
      <c r="M1111" s="217"/>
      <c r="N1111" s="292"/>
      <c r="R1111" s="288">
        <v>453</v>
      </c>
      <c r="S1111" s="288"/>
      <c r="T1111" s="309"/>
      <c r="U1111" s="288"/>
      <c r="V1111" s="288"/>
      <c r="W1111" s="310"/>
      <c r="X1111" s="310"/>
    </row>
    <row r="1112" spans="1:24" s="307" customFormat="1" ht="25.5" x14ac:dyDescent="0.2">
      <c r="A1112" s="746" t="s">
        <v>649</v>
      </c>
      <c r="B1112" s="306" t="s">
        <v>180</v>
      </c>
      <c r="C1112" s="354" t="s">
        <v>8</v>
      </c>
      <c r="D1112" s="354" t="s">
        <v>613</v>
      </c>
      <c r="E1112" s="450">
        <v>7850123040</v>
      </c>
      <c r="F1112" s="450"/>
      <c r="G1112" s="591">
        <f>SUM(G1113:G1121)</f>
        <v>9345.4246600000006</v>
      </c>
      <c r="H1112" s="591">
        <f>SUM(H1113:H1121)</f>
        <v>0</v>
      </c>
      <c r="I1112" s="591">
        <f>SUM(I1113:I1121)</f>
        <v>8039.3930299999993</v>
      </c>
      <c r="J1112" s="591">
        <f>SUM(J1113:J1121)</f>
        <v>0</v>
      </c>
      <c r="K1112" s="591">
        <f t="shared" si="354"/>
        <v>-1306.0316300000013</v>
      </c>
      <c r="L1112" s="591">
        <f t="shared" si="355"/>
        <v>0</v>
      </c>
      <c r="M1112" s="217">
        <f t="shared" si="347"/>
        <v>0</v>
      </c>
      <c r="N1112" s="292"/>
      <c r="R1112" s="591">
        <f>SUM(R1113:R1121)</f>
        <v>9230.5130400000016</v>
      </c>
      <c r="S1112" s="591">
        <f>SUM(S1113:S1121)</f>
        <v>0</v>
      </c>
      <c r="T1112" s="309"/>
      <c r="U1112" s="498">
        <f>SUM(U1113:U1121)</f>
        <v>9982.6566300000013</v>
      </c>
      <c r="V1112" s="498">
        <f>SUM(V1113:V1121)</f>
        <v>0</v>
      </c>
      <c r="W1112" s="310"/>
      <c r="X1112" s="310"/>
    </row>
    <row r="1113" spans="1:24" s="307" customFormat="1" ht="15" x14ac:dyDescent="0.2">
      <c r="A1113" s="739" t="s">
        <v>655</v>
      </c>
      <c r="B1113" s="243" t="s">
        <v>180</v>
      </c>
      <c r="C1113" s="353" t="s">
        <v>8</v>
      </c>
      <c r="D1113" s="353" t="s">
        <v>613</v>
      </c>
      <c r="E1113" s="369">
        <v>7850123040</v>
      </c>
      <c r="F1113" s="369" t="s">
        <v>189</v>
      </c>
      <c r="G1113" s="288">
        <v>4922.6729999999998</v>
      </c>
      <c r="H1113" s="288"/>
      <c r="I1113" s="288">
        <v>3602.6351</v>
      </c>
      <c r="J1113" s="288"/>
      <c r="K1113" s="43">
        <f t="shared" si="354"/>
        <v>-1320.0378999999998</v>
      </c>
      <c r="L1113" s="43">
        <f t="shared" si="355"/>
        <v>0</v>
      </c>
      <c r="M1113" s="217">
        <f t="shared" si="347"/>
        <v>0</v>
      </c>
      <c r="N1113" s="292"/>
      <c r="R1113" s="288">
        <v>5344.0388000000003</v>
      </c>
      <c r="S1113" s="288"/>
      <c r="T1113" s="309"/>
      <c r="U1113" s="288">
        <v>6226.6559999999999</v>
      </c>
      <c r="V1113" s="288">
        <v>0</v>
      </c>
      <c r="W1113" s="310"/>
      <c r="X1113" s="310"/>
    </row>
    <row r="1114" spans="1:24" s="307" customFormat="1" ht="15" hidden="1" x14ac:dyDescent="0.2">
      <c r="A1114" s="124" t="s">
        <v>658</v>
      </c>
      <c r="B1114" s="243" t="s">
        <v>180</v>
      </c>
      <c r="C1114" s="353" t="s">
        <v>8</v>
      </c>
      <c r="D1114" s="353" t="s">
        <v>613</v>
      </c>
      <c r="E1114" s="369">
        <v>7850123040</v>
      </c>
      <c r="F1114" s="369" t="s">
        <v>232</v>
      </c>
      <c r="G1114" s="288"/>
      <c r="H1114" s="288"/>
      <c r="I1114" s="288"/>
      <c r="J1114" s="288"/>
      <c r="K1114" s="43">
        <f t="shared" si="354"/>
        <v>0</v>
      </c>
      <c r="L1114" s="43">
        <f t="shared" si="355"/>
        <v>0</v>
      </c>
      <c r="M1114" s="217">
        <f t="shared" si="347"/>
        <v>0</v>
      </c>
      <c r="N1114" s="292"/>
      <c r="P1114" s="326">
        <f>G1116+G1117+G1118+G1120+G1121</f>
        <v>2932.9876599999998</v>
      </c>
      <c r="R1114" s="288"/>
      <c r="S1114" s="288"/>
      <c r="T1114" s="309"/>
      <c r="U1114" s="288"/>
      <c r="V1114" s="288"/>
      <c r="W1114" s="310"/>
      <c r="X1114" s="310"/>
    </row>
    <row r="1115" spans="1:24" s="307" customFormat="1" ht="25.5" x14ac:dyDescent="0.2">
      <c r="A1115" s="739" t="s">
        <v>534</v>
      </c>
      <c r="B1115" s="243" t="s">
        <v>180</v>
      </c>
      <c r="C1115" s="353" t="s">
        <v>8</v>
      </c>
      <c r="D1115" s="353" t="s">
        <v>613</v>
      </c>
      <c r="E1115" s="369">
        <v>7850123040</v>
      </c>
      <c r="F1115" s="369" t="s">
        <v>535</v>
      </c>
      <c r="G1115" s="288">
        <v>1486.6479999999999</v>
      </c>
      <c r="H1115" s="288"/>
      <c r="I1115" s="288">
        <v>1454.59944</v>
      </c>
      <c r="J1115" s="288"/>
      <c r="K1115" s="43">
        <f t="shared" si="354"/>
        <v>-32.048559999999952</v>
      </c>
      <c r="L1115" s="43">
        <f t="shared" si="355"/>
        <v>0</v>
      </c>
      <c r="M1115" s="217">
        <f t="shared" si="347"/>
        <v>0</v>
      </c>
      <c r="N1115" s="292"/>
      <c r="R1115" s="288">
        <v>1613.88273</v>
      </c>
      <c r="S1115" s="288"/>
      <c r="T1115" s="309"/>
      <c r="U1115" s="288">
        <v>1880.4290000000001</v>
      </c>
      <c r="V1115" s="288">
        <v>0</v>
      </c>
      <c r="W1115" s="310"/>
      <c r="X1115" s="310"/>
    </row>
    <row r="1116" spans="1:24" s="307" customFormat="1" ht="15" x14ac:dyDescent="0.2">
      <c r="A1116" s="739" t="s">
        <v>233</v>
      </c>
      <c r="B1116" s="243" t="s">
        <v>180</v>
      </c>
      <c r="C1116" s="353" t="s">
        <v>8</v>
      </c>
      <c r="D1116" s="353" t="s">
        <v>613</v>
      </c>
      <c r="E1116" s="369">
        <v>7850123040</v>
      </c>
      <c r="F1116" s="369" t="s">
        <v>635</v>
      </c>
      <c r="G1116" s="288">
        <v>944.51598000000001</v>
      </c>
      <c r="H1116" s="288"/>
      <c r="I1116" s="288">
        <v>1066.0849800000001</v>
      </c>
      <c r="J1116" s="288"/>
      <c r="K1116" s="43">
        <f t="shared" si="354"/>
        <v>121.56900000000007</v>
      </c>
      <c r="L1116" s="43">
        <f t="shared" si="355"/>
        <v>0</v>
      </c>
      <c r="M1116" s="217">
        <f t="shared" si="347"/>
        <v>0</v>
      </c>
      <c r="N1116" s="292"/>
      <c r="R1116" s="288">
        <v>632.56439999999998</v>
      </c>
      <c r="S1116" s="288"/>
      <c r="T1116" s="309"/>
      <c r="U1116" s="288">
        <v>695.18267000000003</v>
      </c>
      <c r="V1116" s="288">
        <v>0</v>
      </c>
      <c r="W1116" s="310"/>
      <c r="X1116" s="310"/>
    </row>
    <row r="1117" spans="1:24" s="307" customFormat="1" ht="15" x14ac:dyDescent="0.2">
      <c r="A1117" s="739" t="s">
        <v>834</v>
      </c>
      <c r="B1117" s="243" t="s">
        <v>180</v>
      </c>
      <c r="C1117" s="353" t="s">
        <v>8</v>
      </c>
      <c r="D1117" s="353" t="s">
        <v>613</v>
      </c>
      <c r="E1117" s="369">
        <v>7850123040</v>
      </c>
      <c r="F1117" s="369" t="s">
        <v>634</v>
      </c>
      <c r="G1117" s="288">
        <v>1741.8100400000001</v>
      </c>
      <c r="H1117" s="288"/>
      <c r="I1117" s="288">
        <v>1659.7958699999999</v>
      </c>
      <c r="J1117" s="288"/>
      <c r="K1117" s="43">
        <f t="shared" si="354"/>
        <v>-82.014170000000149</v>
      </c>
      <c r="L1117" s="43">
        <f t="shared" si="355"/>
        <v>0</v>
      </c>
      <c r="M1117" s="217">
        <f t="shared" si="347"/>
        <v>0</v>
      </c>
      <c r="N1117" s="292"/>
      <c r="R1117" s="288">
        <v>1464.6564100000001</v>
      </c>
      <c r="S1117" s="288"/>
      <c r="T1117" s="309"/>
      <c r="U1117" s="288">
        <v>1067.7636500000001</v>
      </c>
      <c r="V1117" s="288">
        <v>0</v>
      </c>
      <c r="W1117" s="310"/>
      <c r="X1117" s="310"/>
    </row>
    <row r="1118" spans="1:24" s="307" customFormat="1" ht="11.25" customHeight="1" x14ac:dyDescent="0.2">
      <c r="A1118" s="739" t="s">
        <v>1554</v>
      </c>
      <c r="B1118" s="243" t="s">
        <v>180</v>
      </c>
      <c r="C1118" s="353" t="s">
        <v>8</v>
      </c>
      <c r="D1118" s="353" t="s">
        <v>613</v>
      </c>
      <c r="E1118" s="369">
        <v>7850123040</v>
      </c>
      <c r="F1118" s="369">
        <v>350</v>
      </c>
      <c r="G1118" s="288">
        <v>180.59</v>
      </c>
      <c r="H1118" s="288"/>
      <c r="I1118" s="288">
        <v>187.09</v>
      </c>
      <c r="J1118" s="288"/>
      <c r="K1118" s="43">
        <f t="shared" si="354"/>
        <v>6.5</v>
      </c>
      <c r="L1118" s="43">
        <f t="shared" si="355"/>
        <v>0</v>
      </c>
      <c r="M1118" s="217">
        <f t="shared" si="347"/>
        <v>0</v>
      </c>
      <c r="N1118" s="292"/>
      <c r="R1118" s="288">
        <v>136</v>
      </c>
      <c r="S1118" s="288"/>
      <c r="T1118" s="309"/>
      <c r="U1118" s="288"/>
      <c r="V1118" s="288"/>
      <c r="W1118" s="310"/>
      <c r="X1118" s="310"/>
    </row>
    <row r="1119" spans="1:24" s="307" customFormat="1" ht="22.5" customHeight="1" x14ac:dyDescent="0.2">
      <c r="A1119" s="744" t="s">
        <v>1915</v>
      </c>
      <c r="B1119" s="243" t="s">
        <v>180</v>
      </c>
      <c r="C1119" s="353" t="s">
        <v>8</v>
      </c>
      <c r="D1119" s="353" t="s">
        <v>613</v>
      </c>
      <c r="E1119" s="369">
        <v>7850123040</v>
      </c>
      <c r="F1119" s="369">
        <v>831</v>
      </c>
      <c r="G1119" s="288">
        <v>3.1160000000000001</v>
      </c>
      <c r="H1119" s="288"/>
      <c r="I1119" s="288">
        <v>3.1160000000000001</v>
      </c>
      <c r="J1119" s="288"/>
      <c r="K1119" s="43">
        <f t="shared" si="354"/>
        <v>0</v>
      </c>
      <c r="L1119" s="43">
        <f t="shared" si="355"/>
        <v>0</v>
      </c>
      <c r="M1119" s="217">
        <f t="shared" si="347"/>
        <v>0</v>
      </c>
      <c r="N1119" s="292"/>
      <c r="R1119" s="288">
        <v>0.2</v>
      </c>
      <c r="S1119" s="288"/>
      <c r="T1119" s="309"/>
      <c r="U1119" s="288">
        <v>0.2</v>
      </c>
      <c r="V1119" s="288">
        <v>0</v>
      </c>
      <c r="W1119" s="310"/>
      <c r="X1119" s="310"/>
    </row>
    <row r="1120" spans="1:24" s="307" customFormat="1" ht="15" x14ac:dyDescent="0.2">
      <c r="A1120" s="739" t="s">
        <v>837</v>
      </c>
      <c r="B1120" s="243" t="s">
        <v>180</v>
      </c>
      <c r="C1120" s="353" t="s">
        <v>8</v>
      </c>
      <c r="D1120" s="353" t="s">
        <v>613</v>
      </c>
      <c r="E1120" s="369">
        <v>7850123040</v>
      </c>
      <c r="F1120" s="369" t="s">
        <v>231</v>
      </c>
      <c r="G1120" s="288">
        <v>19.363</v>
      </c>
      <c r="H1120" s="288"/>
      <c r="I1120" s="288">
        <v>19.363</v>
      </c>
      <c r="J1120" s="288"/>
      <c r="K1120" s="43">
        <f t="shared" si="354"/>
        <v>0</v>
      </c>
      <c r="L1120" s="43">
        <f t="shared" si="355"/>
        <v>0</v>
      </c>
      <c r="M1120" s="217">
        <f t="shared" si="347"/>
        <v>0</v>
      </c>
      <c r="N1120" s="292"/>
      <c r="R1120" s="288">
        <v>21.427</v>
      </c>
      <c r="S1120" s="288"/>
      <c r="T1120" s="309"/>
      <c r="U1120" s="288">
        <v>27.428000000000001</v>
      </c>
      <c r="V1120" s="288">
        <v>0</v>
      </c>
      <c r="W1120" s="310"/>
      <c r="X1120" s="310"/>
    </row>
    <row r="1121" spans="1:24" s="307" customFormat="1" ht="15" x14ac:dyDescent="0.2">
      <c r="A1121" s="739" t="s">
        <v>303</v>
      </c>
      <c r="B1121" s="243" t="s">
        <v>180</v>
      </c>
      <c r="C1121" s="353" t="s">
        <v>8</v>
      </c>
      <c r="D1121" s="353" t="s">
        <v>613</v>
      </c>
      <c r="E1121" s="369">
        <v>7850123040</v>
      </c>
      <c r="F1121" s="369" t="s">
        <v>302</v>
      </c>
      <c r="G1121" s="288">
        <v>46.708640000000003</v>
      </c>
      <c r="H1121" s="288"/>
      <c r="I1121" s="288">
        <v>46.708640000000003</v>
      </c>
      <c r="J1121" s="288"/>
      <c r="K1121" s="43">
        <f t="shared" si="354"/>
        <v>0</v>
      </c>
      <c r="L1121" s="43">
        <f t="shared" si="355"/>
        <v>0</v>
      </c>
      <c r="M1121" s="217">
        <f t="shared" si="347"/>
        <v>0</v>
      </c>
      <c r="N1121" s="292"/>
      <c r="R1121" s="288">
        <v>17.7437</v>
      </c>
      <c r="S1121" s="288"/>
      <c r="T1121" s="309"/>
      <c r="U1121" s="288">
        <v>84.997309999999999</v>
      </c>
      <c r="V1121" s="288">
        <v>0</v>
      </c>
      <c r="W1121" s="310"/>
      <c r="X1121" s="310"/>
    </row>
    <row r="1122" spans="1:24" s="307" customFormat="1" ht="55.5" customHeight="1" x14ac:dyDescent="0.2">
      <c r="A1122" s="746" t="s">
        <v>937</v>
      </c>
      <c r="B1122" s="306" t="s">
        <v>180</v>
      </c>
      <c r="C1122" s="354" t="s">
        <v>8</v>
      </c>
      <c r="D1122" s="354" t="s">
        <v>613</v>
      </c>
      <c r="E1122" s="450">
        <v>7850173060</v>
      </c>
      <c r="F1122" s="450"/>
      <c r="G1122" s="591">
        <f>SUM(G1123:G1124)</f>
        <v>74.5</v>
      </c>
      <c r="H1122" s="591">
        <f>SUM(H1123:H1124)</f>
        <v>0</v>
      </c>
      <c r="I1122" s="591">
        <f>SUM(I1123:I1124)</f>
        <v>74.5</v>
      </c>
      <c r="J1122" s="591">
        <f>SUM(J1123:J1124)</f>
        <v>0</v>
      </c>
      <c r="K1122" s="591">
        <f t="shared" si="354"/>
        <v>0</v>
      </c>
      <c r="L1122" s="591">
        <f t="shared" si="355"/>
        <v>0</v>
      </c>
      <c r="M1122" s="217">
        <f t="shared" si="347"/>
        <v>0</v>
      </c>
      <c r="N1122" s="292"/>
      <c r="R1122" s="591">
        <f>SUM(R1123:R1124)</f>
        <v>73.900000000000006</v>
      </c>
      <c r="S1122" s="591">
        <f>SUM(S1123:S1124)</f>
        <v>0</v>
      </c>
      <c r="T1122" s="309"/>
      <c r="U1122" s="498">
        <f>SUM(U1123:U1124)</f>
        <v>73.8</v>
      </c>
      <c r="V1122" s="498">
        <f>SUM(V1123:V1124)</f>
        <v>0</v>
      </c>
      <c r="W1122" s="310"/>
      <c r="X1122" s="310"/>
    </row>
    <row r="1123" spans="1:24" s="307" customFormat="1" ht="15" x14ac:dyDescent="0.2">
      <c r="A1123" s="739" t="s">
        <v>655</v>
      </c>
      <c r="B1123" s="243" t="s">
        <v>180</v>
      </c>
      <c r="C1123" s="353" t="s">
        <v>8</v>
      </c>
      <c r="D1123" s="353" t="s">
        <v>613</v>
      </c>
      <c r="E1123" s="369">
        <v>7850173060</v>
      </c>
      <c r="F1123" s="369" t="s">
        <v>189</v>
      </c>
      <c r="G1123" s="288">
        <v>57.219659999999998</v>
      </c>
      <c r="H1123" s="288"/>
      <c r="I1123" s="288">
        <v>57.219659999999998</v>
      </c>
      <c r="J1123" s="288"/>
      <c r="K1123" s="43">
        <f t="shared" si="354"/>
        <v>0</v>
      </c>
      <c r="L1123" s="43">
        <f t="shared" si="355"/>
        <v>0</v>
      </c>
      <c r="M1123" s="217">
        <f t="shared" si="347"/>
        <v>0</v>
      </c>
      <c r="N1123" s="292"/>
      <c r="R1123" s="288">
        <v>56.758800000000001</v>
      </c>
      <c r="S1123" s="288"/>
      <c r="T1123" s="309"/>
      <c r="U1123" s="288">
        <v>56.682000000000002</v>
      </c>
      <c r="V1123" s="288">
        <v>0</v>
      </c>
      <c r="W1123" s="310"/>
      <c r="X1123" s="310"/>
    </row>
    <row r="1124" spans="1:24" s="307" customFormat="1" ht="25.5" x14ac:dyDescent="0.2">
      <c r="A1124" s="739" t="s">
        <v>534</v>
      </c>
      <c r="B1124" s="243" t="s">
        <v>180</v>
      </c>
      <c r="C1124" s="353" t="s">
        <v>8</v>
      </c>
      <c r="D1124" s="353" t="s">
        <v>613</v>
      </c>
      <c r="E1124" s="369">
        <v>7850173060</v>
      </c>
      <c r="F1124" s="369" t="s">
        <v>535</v>
      </c>
      <c r="G1124" s="288">
        <v>17.280339999999999</v>
      </c>
      <c r="H1124" s="288"/>
      <c r="I1124" s="288">
        <v>17.280339999999999</v>
      </c>
      <c r="J1124" s="288"/>
      <c r="K1124" s="43">
        <f t="shared" si="354"/>
        <v>0</v>
      </c>
      <c r="L1124" s="43">
        <f t="shared" si="355"/>
        <v>0</v>
      </c>
      <c r="M1124" s="217">
        <f t="shared" si="347"/>
        <v>0</v>
      </c>
      <c r="N1124" s="292"/>
      <c r="R1124" s="288">
        <v>17.141200000000001</v>
      </c>
      <c r="S1124" s="288"/>
      <c r="T1124" s="309"/>
      <c r="U1124" s="288">
        <v>17.117999999999999</v>
      </c>
      <c r="V1124" s="288">
        <v>0</v>
      </c>
      <c r="W1124" s="310"/>
      <c r="X1124" s="310"/>
    </row>
    <row r="1125" spans="1:24" s="307" customFormat="1" ht="25.5" x14ac:dyDescent="0.2">
      <c r="A1125" s="746" t="s">
        <v>936</v>
      </c>
      <c r="B1125" s="363" t="s">
        <v>180</v>
      </c>
      <c r="C1125" s="354" t="s">
        <v>8</v>
      </c>
      <c r="D1125" s="354" t="s">
        <v>613</v>
      </c>
      <c r="E1125" s="450">
        <v>7850173160</v>
      </c>
      <c r="F1125" s="450"/>
      <c r="G1125" s="591">
        <f>G1126+G1127</f>
        <v>40.700000000000003</v>
      </c>
      <c r="H1125" s="591">
        <f>H1126+H1127</f>
        <v>0</v>
      </c>
      <c r="I1125" s="591">
        <f>I1126+I1127</f>
        <v>40.599999999999994</v>
      </c>
      <c r="J1125" s="591">
        <f>J1126+J1127</f>
        <v>0</v>
      </c>
      <c r="K1125" s="591">
        <f t="shared" si="354"/>
        <v>-0.10000000000000853</v>
      </c>
      <c r="L1125" s="591">
        <f t="shared" si="355"/>
        <v>0</v>
      </c>
      <c r="M1125" s="217">
        <f t="shared" si="347"/>
        <v>0</v>
      </c>
      <c r="N1125" s="292">
        <f>N1126+N1127</f>
        <v>41.7</v>
      </c>
      <c r="R1125" s="591">
        <f>R1126+R1127</f>
        <v>34.299999999999997</v>
      </c>
      <c r="S1125" s="591">
        <f>S1126+S1127</f>
        <v>0</v>
      </c>
      <c r="T1125" s="309">
        <f t="shared" ref="T1125:T1131" si="362">I1125-G1125</f>
        <v>-0.10000000000000853</v>
      </c>
      <c r="U1125" s="498">
        <f>U1126+U1127</f>
        <v>32.799999999999997</v>
      </c>
      <c r="V1125" s="498">
        <f>V1126+V1127</f>
        <v>0</v>
      </c>
      <c r="W1125" s="310">
        <f t="shared" ref="W1125:W1131" si="363">G1125-I1125</f>
        <v>0.10000000000000853</v>
      </c>
      <c r="X1125" s="310">
        <f t="shared" ref="X1125:X1131" si="364">K1125+W1125</f>
        <v>0</v>
      </c>
    </row>
    <row r="1126" spans="1:24" ht="15" x14ac:dyDescent="0.2">
      <c r="A1126" s="739" t="s">
        <v>655</v>
      </c>
      <c r="B1126" s="364">
        <v>958</v>
      </c>
      <c r="C1126" s="353" t="s">
        <v>8</v>
      </c>
      <c r="D1126" s="353" t="s">
        <v>613</v>
      </c>
      <c r="E1126" s="369">
        <v>7850173160</v>
      </c>
      <c r="F1126" s="369" t="s">
        <v>189</v>
      </c>
      <c r="G1126" s="288">
        <v>31.259609999999999</v>
      </c>
      <c r="H1126" s="288"/>
      <c r="I1126" s="288">
        <v>31.259609999999999</v>
      </c>
      <c r="J1126" s="288"/>
      <c r="K1126" s="43">
        <f t="shared" si="354"/>
        <v>0</v>
      </c>
      <c r="L1126" s="43">
        <f t="shared" si="355"/>
        <v>0</v>
      </c>
      <c r="M1126" s="217">
        <f t="shared" si="347"/>
        <v>0</v>
      </c>
      <c r="N1126" s="184">
        <v>32.027999999999999</v>
      </c>
      <c r="R1126" s="288">
        <v>26.344100000000001</v>
      </c>
      <c r="S1126" s="288"/>
      <c r="T1126" s="217">
        <f t="shared" si="362"/>
        <v>0</v>
      </c>
      <c r="U1126" s="288">
        <v>25.19163</v>
      </c>
      <c r="V1126" s="288">
        <v>0</v>
      </c>
      <c r="W1126" s="203">
        <f t="shared" si="363"/>
        <v>0</v>
      </c>
      <c r="X1126" s="203">
        <f t="shared" si="364"/>
        <v>0</v>
      </c>
    </row>
    <row r="1127" spans="1:24" ht="25.5" x14ac:dyDescent="0.2">
      <c r="A1127" s="739" t="s">
        <v>534</v>
      </c>
      <c r="B1127" s="364">
        <v>958</v>
      </c>
      <c r="C1127" s="353" t="s">
        <v>8</v>
      </c>
      <c r="D1127" s="353" t="s">
        <v>613</v>
      </c>
      <c r="E1127" s="369">
        <v>7850173160</v>
      </c>
      <c r="F1127" s="369" t="s">
        <v>535</v>
      </c>
      <c r="G1127" s="288">
        <v>9.4403900000000007</v>
      </c>
      <c r="H1127" s="288"/>
      <c r="I1127" s="288">
        <v>9.3403899999999993</v>
      </c>
      <c r="J1127" s="288"/>
      <c r="K1127" s="43">
        <f t="shared" si="354"/>
        <v>-0.10000000000000142</v>
      </c>
      <c r="L1127" s="43">
        <f t="shared" si="355"/>
        <v>0</v>
      </c>
      <c r="M1127" s="217">
        <f t="shared" si="347"/>
        <v>0</v>
      </c>
      <c r="N1127" s="184">
        <v>9.6720000000000006</v>
      </c>
      <c r="R1127" s="288">
        <v>7.9558999999999997</v>
      </c>
      <c r="S1127" s="288"/>
      <c r="T1127" s="217">
        <f t="shared" si="362"/>
        <v>-0.10000000000000142</v>
      </c>
      <c r="U1127" s="288">
        <v>7.6083699999999999</v>
      </c>
      <c r="V1127" s="288">
        <v>0</v>
      </c>
      <c r="W1127" s="203">
        <f t="shared" si="363"/>
        <v>0.10000000000000142</v>
      </c>
      <c r="X1127" s="203">
        <f t="shared" si="364"/>
        <v>0</v>
      </c>
    </row>
    <row r="1128" spans="1:24" s="307" customFormat="1" ht="25.5" x14ac:dyDescent="0.2">
      <c r="A1128" s="746" t="s">
        <v>571</v>
      </c>
      <c r="B1128" s="363" t="s">
        <v>180</v>
      </c>
      <c r="C1128" s="354" t="s">
        <v>8</v>
      </c>
      <c r="D1128" s="354" t="s">
        <v>613</v>
      </c>
      <c r="E1128" s="450">
        <v>7850173190</v>
      </c>
      <c r="F1128" s="450"/>
      <c r="G1128" s="591">
        <f>G1129+G1130+G1131</f>
        <v>65.3</v>
      </c>
      <c r="H1128" s="591">
        <f>H1129+H1130+H1131</f>
        <v>0</v>
      </c>
      <c r="I1128" s="591">
        <f>I1129+I1130+I1131</f>
        <v>65.099999999999994</v>
      </c>
      <c r="J1128" s="591">
        <f>J1129+J1130+J1131</f>
        <v>0</v>
      </c>
      <c r="K1128" s="591">
        <f t="shared" si="354"/>
        <v>-0.20000000000000284</v>
      </c>
      <c r="L1128" s="591">
        <f t="shared" si="355"/>
        <v>0</v>
      </c>
      <c r="M1128" s="217">
        <f t="shared" si="347"/>
        <v>0</v>
      </c>
      <c r="N1128" s="292">
        <f>N1129+N1130+N1131</f>
        <v>32.198999999999998</v>
      </c>
      <c r="R1128" s="591">
        <f>R1129+R1130+R1131</f>
        <v>58.086970000000001</v>
      </c>
      <c r="S1128" s="591">
        <f>S1129+S1130+S1131</f>
        <v>0</v>
      </c>
      <c r="T1128" s="309">
        <f t="shared" si="362"/>
        <v>-0.20000000000000284</v>
      </c>
      <c r="U1128" s="498">
        <f>U1129+U1130+U1131</f>
        <v>43.71</v>
      </c>
      <c r="V1128" s="498">
        <f>V1129+V1130+V1131</f>
        <v>0</v>
      </c>
      <c r="W1128" s="310">
        <f t="shared" si="363"/>
        <v>0.20000000000000284</v>
      </c>
      <c r="X1128" s="310">
        <f t="shared" si="364"/>
        <v>0</v>
      </c>
    </row>
    <row r="1129" spans="1:24" ht="15" x14ac:dyDescent="0.2">
      <c r="A1129" s="739" t="s">
        <v>655</v>
      </c>
      <c r="B1129" s="364">
        <v>958</v>
      </c>
      <c r="C1129" s="353" t="s">
        <v>8</v>
      </c>
      <c r="D1129" s="353" t="s">
        <v>613</v>
      </c>
      <c r="E1129" s="369">
        <v>7850173190</v>
      </c>
      <c r="F1129" s="369" t="s">
        <v>189</v>
      </c>
      <c r="G1129" s="288">
        <v>41.321179999999998</v>
      </c>
      <c r="H1129" s="288"/>
      <c r="I1129" s="288">
        <v>50.15361</v>
      </c>
      <c r="J1129" s="288"/>
      <c r="K1129" s="43">
        <f t="shared" si="354"/>
        <v>8.8324300000000022</v>
      </c>
      <c r="L1129" s="43">
        <f t="shared" si="355"/>
        <v>0</v>
      </c>
      <c r="M1129" s="217">
        <f t="shared" si="347"/>
        <v>0</v>
      </c>
      <c r="N1129" s="184">
        <v>9.3059999999999992</v>
      </c>
      <c r="R1129" s="288">
        <v>36.088369999999998</v>
      </c>
      <c r="S1129" s="288"/>
      <c r="T1129" s="217">
        <f t="shared" si="362"/>
        <v>8.8324300000000022</v>
      </c>
      <c r="U1129" s="288">
        <v>25.038</v>
      </c>
      <c r="V1129" s="288">
        <v>0</v>
      </c>
      <c r="W1129" s="203">
        <f t="shared" si="363"/>
        <v>-8.8324300000000022</v>
      </c>
      <c r="X1129" s="203">
        <f t="shared" si="364"/>
        <v>0</v>
      </c>
    </row>
    <row r="1130" spans="1:24" ht="25.5" x14ac:dyDescent="0.2">
      <c r="A1130" s="739" t="s">
        <v>534</v>
      </c>
      <c r="B1130" s="364">
        <v>958</v>
      </c>
      <c r="C1130" s="353" t="s">
        <v>8</v>
      </c>
      <c r="D1130" s="353" t="s">
        <v>613</v>
      </c>
      <c r="E1130" s="369">
        <v>7850173190</v>
      </c>
      <c r="F1130" s="369" t="s">
        <v>535</v>
      </c>
      <c r="G1130" s="288">
        <v>12.47852</v>
      </c>
      <c r="H1130" s="288"/>
      <c r="I1130" s="288">
        <v>14.946389999999999</v>
      </c>
      <c r="J1130" s="288"/>
      <c r="K1130" s="43">
        <f t="shared" si="354"/>
        <v>2.4678699999999996</v>
      </c>
      <c r="L1130" s="43">
        <f t="shared" si="355"/>
        <v>0</v>
      </c>
      <c r="M1130" s="217">
        <f t="shared" si="347"/>
        <v>0</v>
      </c>
      <c r="N1130" s="184">
        <v>2.81</v>
      </c>
      <c r="P1130" s="167">
        <v>59.986319999999999</v>
      </c>
      <c r="R1130" s="288">
        <v>10.8986</v>
      </c>
      <c r="S1130" s="288"/>
      <c r="T1130" s="217">
        <f t="shared" si="362"/>
        <v>2.4678699999999996</v>
      </c>
      <c r="U1130" s="288">
        <v>7.5620000000000003</v>
      </c>
      <c r="V1130" s="288">
        <v>0</v>
      </c>
      <c r="W1130" s="203">
        <f t="shared" si="363"/>
        <v>-2.4678699999999996</v>
      </c>
      <c r="X1130" s="203">
        <f t="shared" si="364"/>
        <v>0</v>
      </c>
    </row>
    <row r="1131" spans="1:24" ht="15" hidden="1" x14ac:dyDescent="0.2">
      <c r="A1131" s="124" t="s">
        <v>834</v>
      </c>
      <c r="B1131" s="364">
        <v>958</v>
      </c>
      <c r="C1131" s="353" t="s">
        <v>8</v>
      </c>
      <c r="D1131" s="353" t="s">
        <v>613</v>
      </c>
      <c r="E1131" s="369">
        <v>7850173190</v>
      </c>
      <c r="F1131" s="369" t="s">
        <v>634</v>
      </c>
      <c r="G1131" s="288">
        <v>11.500299999999999</v>
      </c>
      <c r="H1131" s="288"/>
      <c r="I1131" s="713">
        <v>0</v>
      </c>
      <c r="J1131" s="288"/>
      <c r="K1131" s="43">
        <f t="shared" si="354"/>
        <v>-11.500299999999999</v>
      </c>
      <c r="L1131" s="43">
        <f t="shared" si="355"/>
        <v>0</v>
      </c>
      <c r="M1131" s="217">
        <f t="shared" si="347"/>
        <v>0</v>
      </c>
      <c r="N1131" s="185">
        <v>20.082999999999998</v>
      </c>
      <c r="P1131" s="166">
        <f>P1130-G1129-G1130</f>
        <v>6.1866200000000013</v>
      </c>
      <c r="R1131" s="288">
        <v>11.1</v>
      </c>
      <c r="S1131" s="288"/>
      <c r="T1131" s="217">
        <f t="shared" si="362"/>
        <v>-11.500299999999999</v>
      </c>
      <c r="U1131" s="288">
        <v>11.11</v>
      </c>
      <c r="V1131" s="288">
        <v>0</v>
      </c>
      <c r="W1131" s="203">
        <f t="shared" si="363"/>
        <v>11.500299999999999</v>
      </c>
      <c r="X1131" s="203">
        <f t="shared" si="364"/>
        <v>0</v>
      </c>
    </row>
    <row r="1132" spans="1:24" ht="25.5" x14ac:dyDescent="0.2">
      <c r="A1132" s="746" t="s">
        <v>1908</v>
      </c>
      <c r="B1132" s="306" t="s">
        <v>180</v>
      </c>
      <c r="C1132" s="354" t="s">
        <v>8</v>
      </c>
      <c r="D1132" s="354" t="s">
        <v>613</v>
      </c>
      <c r="E1132" s="691">
        <v>7850174870</v>
      </c>
      <c r="F1132" s="691"/>
      <c r="G1132" s="591">
        <f t="shared" ref="G1132:L1132" si="365">G1133</f>
        <v>5534.2574999999997</v>
      </c>
      <c r="H1132" s="591">
        <f t="shared" si="365"/>
        <v>0</v>
      </c>
      <c r="I1132" s="591">
        <f t="shared" si="365"/>
        <v>5534.2574999999997</v>
      </c>
      <c r="J1132" s="591">
        <f t="shared" si="365"/>
        <v>0</v>
      </c>
      <c r="K1132" s="591">
        <f t="shared" si="365"/>
        <v>0</v>
      </c>
      <c r="L1132" s="591">
        <f t="shared" si="365"/>
        <v>0</v>
      </c>
      <c r="M1132" s="217"/>
      <c r="N1132" s="426"/>
      <c r="P1132" s="166"/>
      <c r="R1132" s="288"/>
      <c r="S1132" s="288"/>
      <c r="T1132" s="217"/>
      <c r="U1132" s="288"/>
      <c r="V1132" s="288"/>
      <c r="W1132" s="203"/>
      <c r="X1132" s="203"/>
    </row>
    <row r="1133" spans="1:24" ht="25.5" x14ac:dyDescent="0.2">
      <c r="A1133" s="744" t="s">
        <v>646</v>
      </c>
      <c r="B1133" s="243" t="s">
        <v>180</v>
      </c>
      <c r="C1133" s="353" t="s">
        <v>8</v>
      </c>
      <c r="D1133" s="353" t="s">
        <v>613</v>
      </c>
      <c r="E1133" s="369">
        <v>7850174870</v>
      </c>
      <c r="F1133" s="369">
        <v>621</v>
      </c>
      <c r="G1133" s="288">
        <v>5534.2574999999997</v>
      </c>
      <c r="H1133" s="288"/>
      <c r="I1133" s="288">
        <v>5534.2574999999997</v>
      </c>
      <c r="J1133" s="288"/>
      <c r="K1133" s="43">
        <f>I1133-G1133</f>
        <v>0</v>
      </c>
      <c r="L1133" s="43">
        <f>J1133-H1133</f>
        <v>0</v>
      </c>
      <c r="M1133" s="217"/>
      <c r="N1133" s="426"/>
      <c r="P1133" s="166"/>
      <c r="R1133" s="288"/>
      <c r="S1133" s="288"/>
      <c r="T1133" s="217"/>
      <c r="U1133" s="288"/>
      <c r="V1133" s="288"/>
      <c r="W1133" s="203"/>
      <c r="X1133" s="203"/>
    </row>
    <row r="1134" spans="1:24" ht="15" x14ac:dyDescent="0.2">
      <c r="A1134" s="746" t="s">
        <v>643</v>
      </c>
      <c r="B1134" s="306" t="s">
        <v>180</v>
      </c>
      <c r="C1134" s="354" t="s">
        <v>8</v>
      </c>
      <c r="D1134" s="354" t="s">
        <v>613</v>
      </c>
      <c r="E1134" s="450">
        <v>7850191020</v>
      </c>
      <c r="F1134" s="450"/>
      <c r="G1134" s="591">
        <f>SUM(G1135:G1136)</f>
        <v>588.11799999999994</v>
      </c>
      <c r="H1134" s="591">
        <f>SUM(H1135:H1136)</f>
        <v>0</v>
      </c>
      <c r="I1134" s="591">
        <f>SUM(I1135:I1136)</f>
        <v>511.60458000000006</v>
      </c>
      <c r="J1134" s="591">
        <f>SUM(J1135:J1136)</f>
        <v>0</v>
      </c>
      <c r="K1134" s="591">
        <f t="shared" si="354"/>
        <v>-76.513419999999883</v>
      </c>
      <c r="L1134" s="591">
        <f t="shared" si="355"/>
        <v>0</v>
      </c>
      <c r="M1134" s="217">
        <f t="shared" si="347"/>
        <v>0</v>
      </c>
      <c r="N1134" s="426"/>
      <c r="R1134" s="591">
        <f>SUM(R1135:R1136)</f>
        <v>776.22181</v>
      </c>
      <c r="S1134" s="591">
        <f>SUM(S1135:S1136)</f>
        <v>0</v>
      </c>
      <c r="T1134" s="217"/>
      <c r="U1134" s="498">
        <f>SUM(U1135:U1136)</f>
        <v>1212.1389999999999</v>
      </c>
      <c r="V1134" s="498">
        <f>SUM(V1135:V1136)</f>
        <v>0</v>
      </c>
      <c r="W1134" s="203"/>
      <c r="X1134" s="203"/>
    </row>
    <row r="1135" spans="1:24" ht="15" x14ac:dyDescent="0.2">
      <c r="A1135" s="739" t="s">
        <v>523</v>
      </c>
      <c r="B1135" s="243" t="s">
        <v>180</v>
      </c>
      <c r="C1135" s="353" t="s">
        <v>8</v>
      </c>
      <c r="D1135" s="353" t="s">
        <v>613</v>
      </c>
      <c r="E1135" s="369">
        <v>7850191020</v>
      </c>
      <c r="F1135" s="369" t="s">
        <v>129</v>
      </c>
      <c r="G1135" s="288">
        <v>451.70299999999997</v>
      </c>
      <c r="H1135" s="288"/>
      <c r="I1135" s="288">
        <v>419.41277000000002</v>
      </c>
      <c r="J1135" s="288"/>
      <c r="K1135" s="43">
        <f t="shared" si="354"/>
        <v>-32.290229999999951</v>
      </c>
      <c r="L1135" s="43">
        <f t="shared" si="355"/>
        <v>0</v>
      </c>
      <c r="M1135" s="217">
        <f t="shared" si="347"/>
        <v>0</v>
      </c>
      <c r="N1135" s="426"/>
      <c r="R1135" s="288">
        <v>596.17619999999999</v>
      </c>
      <c r="S1135" s="288"/>
      <c r="T1135" s="217"/>
      <c r="U1135" s="288">
        <v>930.98199999999997</v>
      </c>
      <c r="V1135" s="288">
        <v>0</v>
      </c>
      <c r="W1135" s="203"/>
      <c r="X1135" s="203"/>
    </row>
    <row r="1136" spans="1:24" ht="25.5" x14ac:dyDescent="0.2">
      <c r="A1136" s="739" t="s">
        <v>572</v>
      </c>
      <c r="B1136" s="243" t="s">
        <v>180</v>
      </c>
      <c r="C1136" s="353" t="s">
        <v>8</v>
      </c>
      <c r="D1136" s="353" t="s">
        <v>613</v>
      </c>
      <c r="E1136" s="369">
        <v>7850191020</v>
      </c>
      <c r="F1136" s="369" t="s">
        <v>524</v>
      </c>
      <c r="G1136" s="288">
        <v>136.41499999999999</v>
      </c>
      <c r="H1136" s="288"/>
      <c r="I1136" s="288">
        <v>92.191810000000004</v>
      </c>
      <c r="J1136" s="288"/>
      <c r="K1136" s="43">
        <f t="shared" si="354"/>
        <v>-44.223189999999988</v>
      </c>
      <c r="L1136" s="43">
        <f t="shared" si="355"/>
        <v>0</v>
      </c>
      <c r="M1136" s="217">
        <f t="shared" si="347"/>
        <v>0</v>
      </c>
      <c r="N1136" s="426"/>
      <c r="R1136" s="288">
        <v>180.04561000000001</v>
      </c>
      <c r="S1136" s="288"/>
      <c r="T1136" s="217"/>
      <c r="U1136" s="288">
        <v>281.15699999999998</v>
      </c>
      <c r="V1136" s="288">
        <v>0</v>
      </c>
      <c r="W1136" s="203"/>
      <c r="X1136" s="203"/>
    </row>
    <row r="1137" spans="1:24" ht="25.5" x14ac:dyDescent="0.2">
      <c r="A1137" s="746" t="s">
        <v>1247</v>
      </c>
      <c r="B1137" s="306" t="s">
        <v>180</v>
      </c>
      <c r="C1137" s="354" t="s">
        <v>8</v>
      </c>
      <c r="D1137" s="354" t="s">
        <v>613</v>
      </c>
      <c r="E1137" s="450" t="s">
        <v>1314</v>
      </c>
      <c r="F1137" s="450"/>
      <c r="G1137" s="591">
        <f>SUM(G1138:G1142)</f>
        <v>21560.888999999999</v>
      </c>
      <c r="H1137" s="591">
        <f>SUM(H1138:H1142)</f>
        <v>0</v>
      </c>
      <c r="I1137" s="591">
        <f>SUM(I1138:I1142)</f>
        <v>21560.889000000003</v>
      </c>
      <c r="J1137" s="591">
        <f>SUM(J1138:J1142)</f>
        <v>0</v>
      </c>
      <c r="K1137" s="591">
        <f t="shared" si="354"/>
        <v>0</v>
      </c>
      <c r="L1137" s="591">
        <f t="shared" si="355"/>
        <v>0</v>
      </c>
      <c r="M1137" s="217">
        <f t="shared" si="347"/>
        <v>3.637978807091713E-12</v>
      </c>
      <c r="N1137" s="426"/>
      <c r="R1137" s="591">
        <f>R1142+R1138+R1139</f>
        <v>9901.8040000000001</v>
      </c>
      <c r="S1137" s="591">
        <f>S1142+S1138+S1139</f>
        <v>0</v>
      </c>
      <c r="T1137" s="217"/>
      <c r="U1137" s="498">
        <f>U1142+U1138+U1139</f>
        <v>4675.0139999999992</v>
      </c>
      <c r="V1137" s="498">
        <f>V1142+V1138+V1139</f>
        <v>0</v>
      </c>
      <c r="W1137" s="203"/>
      <c r="X1137" s="203"/>
    </row>
    <row r="1138" spans="1:24" ht="15" x14ac:dyDescent="0.2">
      <c r="A1138" s="739" t="s">
        <v>655</v>
      </c>
      <c r="B1138" s="243" t="s">
        <v>180</v>
      </c>
      <c r="C1138" s="353" t="s">
        <v>8</v>
      </c>
      <c r="D1138" s="353" t="s">
        <v>613</v>
      </c>
      <c r="E1138" s="369" t="s">
        <v>1314</v>
      </c>
      <c r="F1138" s="369" t="s">
        <v>189</v>
      </c>
      <c r="G1138" s="288">
        <v>8805.06</v>
      </c>
      <c r="H1138" s="288"/>
      <c r="I1138" s="288">
        <v>8805.06</v>
      </c>
      <c r="J1138" s="288"/>
      <c r="K1138" s="43">
        <f t="shared" si="354"/>
        <v>0</v>
      </c>
      <c r="L1138" s="43">
        <f t="shared" si="355"/>
        <v>0</v>
      </c>
      <c r="M1138" s="217">
        <f t="shared" si="347"/>
        <v>0</v>
      </c>
      <c r="N1138" s="426"/>
      <c r="R1138" s="288">
        <v>6736.1781000000001</v>
      </c>
      <c r="S1138" s="288"/>
      <c r="T1138" s="217"/>
      <c r="U1138" s="288">
        <v>3009.9119999999998</v>
      </c>
      <c r="V1138" s="288">
        <v>0</v>
      </c>
      <c r="W1138" s="203"/>
      <c r="X1138" s="203"/>
    </row>
    <row r="1139" spans="1:24" ht="25.5" x14ac:dyDescent="0.2">
      <c r="A1139" s="739" t="s">
        <v>534</v>
      </c>
      <c r="B1139" s="243" t="s">
        <v>180</v>
      </c>
      <c r="C1139" s="353" t="s">
        <v>8</v>
      </c>
      <c r="D1139" s="353" t="s">
        <v>613</v>
      </c>
      <c r="E1139" s="369" t="s">
        <v>1314</v>
      </c>
      <c r="F1139" s="369" t="s">
        <v>535</v>
      </c>
      <c r="G1139" s="288">
        <v>2659.1280000000002</v>
      </c>
      <c r="H1139" s="288"/>
      <c r="I1139" s="288">
        <v>2659.1280000000002</v>
      </c>
      <c r="J1139" s="288"/>
      <c r="K1139" s="43">
        <f t="shared" si="354"/>
        <v>0</v>
      </c>
      <c r="L1139" s="43">
        <f t="shared" si="355"/>
        <v>0</v>
      </c>
      <c r="M1139" s="217">
        <f t="shared" si="347"/>
        <v>0</v>
      </c>
      <c r="N1139" s="426"/>
      <c r="R1139" s="288">
        <v>2034.3259</v>
      </c>
      <c r="S1139" s="288"/>
      <c r="T1139" s="217"/>
      <c r="U1139" s="288">
        <v>908.99400000000003</v>
      </c>
      <c r="V1139" s="288">
        <v>0</v>
      </c>
      <c r="W1139" s="203"/>
      <c r="X1139" s="203"/>
    </row>
    <row r="1140" spans="1:24" ht="15" x14ac:dyDescent="0.2">
      <c r="A1140" s="739" t="s">
        <v>523</v>
      </c>
      <c r="B1140" s="243" t="s">
        <v>180</v>
      </c>
      <c r="C1140" s="353" t="s">
        <v>8</v>
      </c>
      <c r="D1140" s="353" t="s">
        <v>613</v>
      </c>
      <c r="E1140" s="369" t="s">
        <v>1314</v>
      </c>
      <c r="F1140" s="369">
        <v>121</v>
      </c>
      <c r="G1140" s="288">
        <v>852.60400000000004</v>
      </c>
      <c r="H1140" s="288"/>
      <c r="I1140" s="288">
        <v>854.85060999999996</v>
      </c>
      <c r="J1140" s="288"/>
      <c r="K1140" s="43">
        <f t="shared" si="354"/>
        <v>2.2466099999999187</v>
      </c>
      <c r="L1140" s="43">
        <f t="shared" si="355"/>
        <v>0</v>
      </c>
      <c r="M1140" s="217"/>
      <c r="N1140" s="426"/>
      <c r="R1140" s="288"/>
      <c r="S1140" s="288"/>
      <c r="T1140" s="217"/>
      <c r="U1140" s="288"/>
      <c r="V1140" s="288"/>
      <c r="W1140" s="203"/>
      <c r="X1140" s="203"/>
    </row>
    <row r="1141" spans="1:24" ht="25.5" x14ac:dyDescent="0.2">
      <c r="A1141" s="739" t="s">
        <v>572</v>
      </c>
      <c r="B1141" s="243" t="s">
        <v>180</v>
      </c>
      <c r="C1141" s="353" t="s">
        <v>8</v>
      </c>
      <c r="D1141" s="353" t="s">
        <v>613</v>
      </c>
      <c r="E1141" s="369" t="s">
        <v>1314</v>
      </c>
      <c r="F1141" s="369">
        <v>129</v>
      </c>
      <c r="G1141" s="288">
        <v>257.48700000000002</v>
      </c>
      <c r="H1141" s="288"/>
      <c r="I1141" s="288">
        <v>255.24038999999999</v>
      </c>
      <c r="J1141" s="288"/>
      <c r="K1141" s="43">
        <f t="shared" si="354"/>
        <v>-2.2466100000000324</v>
      </c>
      <c r="L1141" s="43">
        <f t="shared" si="355"/>
        <v>0</v>
      </c>
      <c r="M1141" s="217"/>
      <c r="N1141" s="426"/>
      <c r="R1141" s="288"/>
      <c r="S1141" s="288"/>
      <c r="T1141" s="217"/>
      <c r="U1141" s="288"/>
      <c r="V1141" s="288"/>
      <c r="W1141" s="203"/>
      <c r="X1141" s="203"/>
    </row>
    <row r="1142" spans="1:24" ht="25.5" x14ac:dyDescent="0.2">
      <c r="A1142" s="739" t="s">
        <v>646</v>
      </c>
      <c r="B1142" s="243" t="s">
        <v>180</v>
      </c>
      <c r="C1142" s="353" t="s">
        <v>8</v>
      </c>
      <c r="D1142" s="353" t="s">
        <v>613</v>
      </c>
      <c r="E1142" s="369" t="s">
        <v>1314</v>
      </c>
      <c r="F1142" s="369" t="s">
        <v>128</v>
      </c>
      <c r="G1142" s="288">
        <v>8986.61</v>
      </c>
      <c r="H1142" s="288"/>
      <c r="I1142" s="288">
        <v>8986.61</v>
      </c>
      <c r="J1142" s="288"/>
      <c r="K1142" s="43">
        <f t="shared" si="354"/>
        <v>0</v>
      </c>
      <c r="L1142" s="43">
        <f t="shared" si="355"/>
        <v>0</v>
      </c>
      <c r="M1142" s="217">
        <f t="shared" si="347"/>
        <v>0</v>
      </c>
      <c r="N1142" s="426"/>
      <c r="R1142" s="288">
        <v>1131.3</v>
      </c>
      <c r="S1142" s="288"/>
      <c r="T1142" s="217"/>
      <c r="U1142" s="288">
        <v>756.10799999999995</v>
      </c>
      <c r="V1142" s="288">
        <v>0</v>
      </c>
      <c r="W1142" s="203"/>
      <c r="X1142" s="203"/>
    </row>
    <row r="1143" spans="1:24" ht="15" x14ac:dyDescent="0.2">
      <c r="A1143" s="746" t="s">
        <v>1050</v>
      </c>
      <c r="B1143" s="306" t="s">
        <v>180</v>
      </c>
      <c r="C1143" s="354" t="s">
        <v>8</v>
      </c>
      <c r="D1143" s="354" t="s">
        <v>613</v>
      </c>
      <c r="E1143" s="719" t="s">
        <v>2021</v>
      </c>
      <c r="F1143" s="495"/>
      <c r="G1143" s="591">
        <f>G1146+G1144+G1145+G1147+G1148</f>
        <v>0</v>
      </c>
      <c r="H1143" s="591">
        <f>H1146+H1144+H1145+H1147+H1148</f>
        <v>0</v>
      </c>
      <c r="I1143" s="591">
        <f>I1146+I1144+I1145+I1147+I1148</f>
        <v>19753.157520000001</v>
      </c>
      <c r="J1143" s="591">
        <f>J1146+J1144+J1145+J1147+J1148</f>
        <v>0</v>
      </c>
      <c r="K1143" s="591">
        <f t="shared" si="354"/>
        <v>19753.157520000001</v>
      </c>
      <c r="L1143" s="591">
        <f t="shared" si="355"/>
        <v>0</v>
      </c>
      <c r="M1143" s="217"/>
      <c r="N1143" s="426"/>
      <c r="R1143" s="591">
        <f>R1146+R1144+R1145+R1147+R1148</f>
        <v>6132.6949999999997</v>
      </c>
      <c r="S1143" s="591">
        <f>S1146+S1144+S1145+S1147+S1148</f>
        <v>0</v>
      </c>
      <c r="T1143" s="217"/>
      <c r="U1143" s="498">
        <f>U1146+U1144+U1145+U1147+U1148</f>
        <v>8701.2870000000003</v>
      </c>
      <c r="V1143" s="498">
        <f>V1146+V1144+V1145+V1147+V1148</f>
        <v>0</v>
      </c>
      <c r="W1143" s="203"/>
      <c r="X1143" s="203"/>
    </row>
    <row r="1144" spans="1:24" ht="15" x14ac:dyDescent="0.2">
      <c r="A1144" s="739" t="s">
        <v>655</v>
      </c>
      <c r="B1144" s="243" t="s">
        <v>180</v>
      </c>
      <c r="C1144" s="353" t="s">
        <v>8</v>
      </c>
      <c r="D1144" s="353" t="s">
        <v>613</v>
      </c>
      <c r="E1144" s="386" t="s">
        <v>2021</v>
      </c>
      <c r="F1144" s="369" t="s">
        <v>189</v>
      </c>
      <c r="G1144" s="288"/>
      <c r="H1144" s="288"/>
      <c r="I1144" s="288">
        <v>4749.1464599999999</v>
      </c>
      <c r="J1144" s="288"/>
      <c r="K1144" s="43">
        <f t="shared" si="354"/>
        <v>4749.1464599999999</v>
      </c>
      <c r="L1144" s="43">
        <f t="shared" si="355"/>
        <v>0</v>
      </c>
      <c r="M1144" s="217"/>
      <c r="N1144" s="426"/>
      <c r="R1144" s="288"/>
      <c r="S1144" s="288"/>
      <c r="T1144" s="217"/>
      <c r="U1144" s="288">
        <v>2435.34</v>
      </c>
      <c r="V1144" s="288">
        <v>0</v>
      </c>
      <c r="W1144" s="203"/>
      <c r="X1144" s="203"/>
    </row>
    <row r="1145" spans="1:24" ht="25.5" x14ac:dyDescent="0.2">
      <c r="A1145" s="739" t="s">
        <v>534</v>
      </c>
      <c r="B1145" s="243" t="s">
        <v>180</v>
      </c>
      <c r="C1145" s="353" t="s">
        <v>8</v>
      </c>
      <c r="D1145" s="353" t="s">
        <v>613</v>
      </c>
      <c r="E1145" s="386" t="s">
        <v>2021</v>
      </c>
      <c r="F1145" s="369" t="s">
        <v>535</v>
      </c>
      <c r="G1145" s="288"/>
      <c r="H1145" s="288"/>
      <c r="I1145" s="288">
        <v>969.99400000000003</v>
      </c>
      <c r="J1145" s="288"/>
      <c r="K1145" s="43">
        <f t="shared" si="354"/>
        <v>969.99400000000003</v>
      </c>
      <c r="L1145" s="43">
        <f t="shared" si="355"/>
        <v>0</v>
      </c>
      <c r="M1145" s="217"/>
      <c r="N1145" s="426"/>
      <c r="R1145" s="288"/>
      <c r="S1145" s="288"/>
      <c r="T1145" s="217"/>
      <c r="U1145" s="288">
        <v>735.47</v>
      </c>
      <c r="V1145" s="288">
        <v>0</v>
      </c>
      <c r="W1145" s="203"/>
      <c r="X1145" s="203"/>
    </row>
    <row r="1146" spans="1:24" ht="15" x14ac:dyDescent="0.2">
      <c r="A1146" s="739" t="s">
        <v>523</v>
      </c>
      <c r="B1146" s="243" t="s">
        <v>180</v>
      </c>
      <c r="C1146" s="353" t="s">
        <v>8</v>
      </c>
      <c r="D1146" s="353" t="s">
        <v>613</v>
      </c>
      <c r="E1146" s="386" t="s">
        <v>2021</v>
      </c>
      <c r="F1146" s="369" t="s">
        <v>129</v>
      </c>
      <c r="G1146" s="288"/>
      <c r="H1146" s="288"/>
      <c r="I1146" s="288">
        <v>619.91805999999997</v>
      </c>
      <c r="J1146" s="288"/>
      <c r="K1146" s="43">
        <f t="shared" si="354"/>
        <v>619.91805999999997</v>
      </c>
      <c r="L1146" s="43">
        <f t="shared" si="355"/>
        <v>0</v>
      </c>
      <c r="M1146" s="217"/>
      <c r="N1146" s="426"/>
      <c r="R1146" s="288">
        <v>770.32399999999996</v>
      </c>
      <c r="S1146" s="288"/>
      <c r="T1146" s="217"/>
      <c r="U1146" s="288">
        <v>334.33300000000003</v>
      </c>
      <c r="V1146" s="288">
        <v>0</v>
      </c>
      <c r="W1146" s="203"/>
      <c r="X1146" s="203"/>
    </row>
    <row r="1147" spans="1:24" ht="25.5" x14ac:dyDescent="0.2">
      <c r="A1147" s="739" t="s">
        <v>572</v>
      </c>
      <c r="B1147" s="243" t="s">
        <v>180</v>
      </c>
      <c r="C1147" s="353" t="s">
        <v>8</v>
      </c>
      <c r="D1147" s="353" t="s">
        <v>613</v>
      </c>
      <c r="E1147" s="386" t="s">
        <v>2021</v>
      </c>
      <c r="F1147" s="369" t="s">
        <v>524</v>
      </c>
      <c r="G1147" s="288"/>
      <c r="H1147" s="288"/>
      <c r="I1147" s="615">
        <v>142.76</v>
      </c>
      <c r="J1147" s="288"/>
      <c r="K1147" s="43">
        <f t="shared" si="354"/>
        <v>142.76</v>
      </c>
      <c r="L1147" s="43">
        <f t="shared" si="355"/>
        <v>0</v>
      </c>
      <c r="M1147" s="217"/>
      <c r="N1147" s="426"/>
      <c r="R1147" s="288">
        <v>232.63800000000001</v>
      </c>
      <c r="S1147" s="288"/>
      <c r="T1147" s="217"/>
      <c r="U1147" s="288">
        <v>142.44999999999999</v>
      </c>
      <c r="V1147" s="288">
        <v>0</v>
      </c>
      <c r="W1147" s="203"/>
      <c r="X1147" s="203"/>
    </row>
    <row r="1148" spans="1:24" ht="25.5" x14ac:dyDescent="0.2">
      <c r="A1148" s="739" t="s">
        <v>646</v>
      </c>
      <c r="B1148" s="243" t="s">
        <v>180</v>
      </c>
      <c r="C1148" s="353" t="s">
        <v>8</v>
      </c>
      <c r="D1148" s="353" t="s">
        <v>613</v>
      </c>
      <c r="E1148" s="386" t="s">
        <v>2021</v>
      </c>
      <c r="F1148" s="369" t="s">
        <v>128</v>
      </c>
      <c r="G1148" s="288"/>
      <c r="H1148" s="288"/>
      <c r="I1148" s="288">
        <v>13271.339</v>
      </c>
      <c r="J1148" s="288"/>
      <c r="K1148" s="43">
        <f t="shared" si="354"/>
        <v>13271.339</v>
      </c>
      <c r="L1148" s="43">
        <f t="shared" si="355"/>
        <v>0</v>
      </c>
      <c r="M1148" s="217"/>
      <c r="N1148" s="426"/>
      <c r="R1148" s="288">
        <v>5129.7330000000002</v>
      </c>
      <c r="S1148" s="288"/>
      <c r="T1148" s="217"/>
      <c r="U1148" s="288">
        <v>5053.6940000000004</v>
      </c>
      <c r="V1148" s="288">
        <v>0</v>
      </c>
      <c r="W1148" s="203"/>
      <c r="X1148" s="203"/>
    </row>
    <row r="1149" spans="1:24" ht="15" hidden="1" x14ac:dyDescent="0.2">
      <c r="A1149" s="581" t="s">
        <v>1556</v>
      </c>
      <c r="B1149" s="306" t="s">
        <v>180</v>
      </c>
      <c r="C1149" s="354" t="s">
        <v>8</v>
      </c>
      <c r="D1149" s="354" t="s">
        <v>613</v>
      </c>
      <c r="E1149" s="599" t="s">
        <v>1555</v>
      </c>
      <c r="F1149" s="582"/>
      <c r="G1149" s="591">
        <f>G1150</f>
        <v>0</v>
      </c>
      <c r="H1149" s="591">
        <f>H1150</f>
        <v>0</v>
      </c>
      <c r="I1149" s="591">
        <f>I1150</f>
        <v>0</v>
      </c>
      <c r="J1149" s="591">
        <f>J1150</f>
        <v>0</v>
      </c>
      <c r="K1149" s="591">
        <f t="shared" si="354"/>
        <v>0</v>
      </c>
      <c r="L1149" s="591">
        <f t="shared" si="355"/>
        <v>0</v>
      </c>
      <c r="M1149" s="217"/>
      <c r="N1149" s="426"/>
      <c r="R1149" s="591">
        <f>R1150</f>
        <v>37267.49</v>
      </c>
      <c r="S1149" s="591">
        <f>S1150</f>
        <v>0</v>
      </c>
      <c r="T1149" s="217"/>
      <c r="U1149" s="288"/>
      <c r="V1149" s="288"/>
      <c r="W1149" s="203"/>
      <c r="X1149" s="203"/>
    </row>
    <row r="1150" spans="1:24" ht="15" hidden="1" x14ac:dyDescent="0.2">
      <c r="A1150" s="124" t="s">
        <v>126</v>
      </c>
      <c r="B1150" s="243" t="s">
        <v>180</v>
      </c>
      <c r="C1150" s="353" t="s">
        <v>8</v>
      </c>
      <c r="D1150" s="353" t="s">
        <v>613</v>
      </c>
      <c r="E1150" s="369" t="s">
        <v>1555</v>
      </c>
      <c r="F1150" s="369">
        <v>622</v>
      </c>
      <c r="G1150" s="288"/>
      <c r="H1150" s="288"/>
      <c r="I1150" s="288"/>
      <c r="J1150" s="288"/>
      <c r="K1150" s="43">
        <f t="shared" si="354"/>
        <v>0</v>
      </c>
      <c r="L1150" s="43">
        <f t="shared" si="355"/>
        <v>0</v>
      </c>
      <c r="M1150" s="217"/>
      <c r="N1150" s="426"/>
      <c r="R1150" s="288">
        <v>37267.49</v>
      </c>
      <c r="S1150" s="288"/>
      <c r="T1150" s="217"/>
      <c r="U1150" s="288"/>
      <c r="V1150" s="288"/>
      <c r="W1150" s="203"/>
      <c r="X1150" s="203"/>
    </row>
    <row r="1151" spans="1:24" ht="25.5" x14ac:dyDescent="0.2">
      <c r="A1151" s="746" t="s">
        <v>1511</v>
      </c>
      <c r="B1151" s="306" t="s">
        <v>180</v>
      </c>
      <c r="C1151" s="354" t="s">
        <v>8</v>
      </c>
      <c r="D1151" s="354" t="s">
        <v>613</v>
      </c>
      <c r="E1151" s="599" t="s">
        <v>1505</v>
      </c>
      <c r="F1151" s="582"/>
      <c r="G1151" s="591">
        <f>G1152+G1157+G1163+G1168</f>
        <v>15</v>
      </c>
      <c r="H1151" s="591">
        <f>H1152+H1157+H1163+H1168</f>
        <v>0</v>
      </c>
      <c r="I1151" s="591">
        <f>I1152+I1157+I1163+I1168</f>
        <v>20</v>
      </c>
      <c r="J1151" s="591">
        <f>J1152+J1157+J1163+J1168</f>
        <v>0</v>
      </c>
      <c r="K1151" s="591">
        <f t="shared" si="354"/>
        <v>5</v>
      </c>
      <c r="L1151" s="591">
        <f t="shared" si="355"/>
        <v>0</v>
      </c>
      <c r="M1151" s="217"/>
      <c r="N1151" s="426"/>
      <c r="R1151" s="591">
        <f>R1152+R1157+R1163+R1168</f>
        <v>362.5</v>
      </c>
      <c r="S1151" s="591">
        <f>S1152+S1157+S1163+S1168</f>
        <v>0</v>
      </c>
      <c r="T1151" s="217"/>
      <c r="U1151" s="288"/>
      <c r="V1151" s="288"/>
      <c r="W1151" s="203"/>
      <c r="X1151" s="203"/>
    </row>
    <row r="1152" spans="1:24" ht="15" hidden="1" x14ac:dyDescent="0.2">
      <c r="A1152" s="581" t="s">
        <v>1537</v>
      </c>
      <c r="B1152" s="306" t="s">
        <v>180</v>
      </c>
      <c r="C1152" s="354" t="s">
        <v>8</v>
      </c>
      <c r="D1152" s="354" t="s">
        <v>613</v>
      </c>
      <c r="E1152" s="599" t="s">
        <v>1506</v>
      </c>
      <c r="F1152" s="582"/>
      <c r="G1152" s="591">
        <f>G1153+G1155</f>
        <v>0</v>
      </c>
      <c r="H1152" s="591">
        <f>H1153+H1155</f>
        <v>0</v>
      </c>
      <c r="I1152" s="591">
        <f>I1153+I1155</f>
        <v>0</v>
      </c>
      <c r="J1152" s="591">
        <f>J1153+J1155</f>
        <v>0</v>
      </c>
      <c r="K1152" s="591">
        <f t="shared" si="354"/>
        <v>0</v>
      </c>
      <c r="L1152" s="591">
        <f t="shared" si="355"/>
        <v>0</v>
      </c>
      <c r="M1152" s="217"/>
      <c r="N1152" s="426"/>
      <c r="R1152" s="591">
        <f>R1153+R1155</f>
        <v>100</v>
      </c>
      <c r="S1152" s="591">
        <f>S1153+S1155</f>
        <v>0</v>
      </c>
      <c r="T1152" s="217"/>
      <c r="U1152" s="288"/>
      <c r="V1152" s="288"/>
      <c r="W1152" s="203"/>
      <c r="X1152" s="203"/>
    </row>
    <row r="1153" spans="1:24" ht="15" hidden="1" x14ac:dyDescent="0.2">
      <c r="A1153" s="581" t="s">
        <v>1538</v>
      </c>
      <c r="B1153" s="306" t="s">
        <v>180</v>
      </c>
      <c r="C1153" s="354" t="s">
        <v>8</v>
      </c>
      <c r="D1153" s="354" t="s">
        <v>613</v>
      </c>
      <c r="E1153" s="599" t="s">
        <v>1507</v>
      </c>
      <c r="F1153" s="582"/>
      <c r="G1153" s="591">
        <f>G1154</f>
        <v>0</v>
      </c>
      <c r="H1153" s="591">
        <f>H1154</f>
        <v>0</v>
      </c>
      <c r="I1153" s="591">
        <f>I1154</f>
        <v>0</v>
      </c>
      <c r="J1153" s="591">
        <f>J1154</f>
        <v>0</v>
      </c>
      <c r="K1153" s="591">
        <f t="shared" si="354"/>
        <v>0</v>
      </c>
      <c r="L1153" s="591">
        <f t="shared" si="355"/>
        <v>0</v>
      </c>
      <c r="M1153" s="217"/>
      <c r="N1153" s="426"/>
      <c r="R1153" s="591">
        <f t="shared" ref="R1153:S1155" si="366">R1154</f>
        <v>0</v>
      </c>
      <c r="S1153" s="591">
        <f t="shared" si="366"/>
        <v>0</v>
      </c>
      <c r="T1153" s="217"/>
      <c r="U1153" s="288"/>
      <c r="V1153" s="288"/>
      <c r="W1153" s="203"/>
      <c r="X1153" s="203"/>
    </row>
    <row r="1154" spans="1:24" ht="15" hidden="1" x14ac:dyDescent="0.2">
      <c r="A1154" s="124" t="s">
        <v>1558</v>
      </c>
      <c r="B1154" s="243" t="s">
        <v>180</v>
      </c>
      <c r="C1154" s="353" t="s">
        <v>8</v>
      </c>
      <c r="D1154" s="353" t="s">
        <v>613</v>
      </c>
      <c r="E1154" s="369" t="s">
        <v>1507</v>
      </c>
      <c r="F1154" s="369" t="s">
        <v>634</v>
      </c>
      <c r="G1154" s="288">
        <v>0</v>
      </c>
      <c r="H1154" s="288"/>
      <c r="I1154" s="288">
        <v>0</v>
      </c>
      <c r="J1154" s="288"/>
      <c r="K1154" s="288">
        <f t="shared" si="354"/>
        <v>0</v>
      </c>
      <c r="L1154" s="288">
        <f t="shared" si="355"/>
        <v>0</v>
      </c>
      <c r="M1154" s="217"/>
      <c r="N1154" s="426"/>
      <c r="R1154" s="288">
        <v>0</v>
      </c>
      <c r="S1154" s="288"/>
      <c r="T1154" s="217"/>
      <c r="U1154" s="288"/>
      <c r="V1154" s="288"/>
      <c r="W1154" s="203"/>
      <c r="X1154" s="203"/>
    </row>
    <row r="1155" spans="1:24" ht="15" hidden="1" x14ac:dyDescent="0.2">
      <c r="A1155" s="598" t="s">
        <v>1654</v>
      </c>
      <c r="B1155" s="306" t="s">
        <v>180</v>
      </c>
      <c r="C1155" s="354" t="s">
        <v>8</v>
      </c>
      <c r="D1155" s="354" t="s">
        <v>613</v>
      </c>
      <c r="E1155" s="613" t="s">
        <v>1656</v>
      </c>
      <c r="F1155" s="599"/>
      <c r="G1155" s="591">
        <f>G1156</f>
        <v>0</v>
      </c>
      <c r="H1155" s="591">
        <f>H1156</f>
        <v>0</v>
      </c>
      <c r="I1155" s="591">
        <f>I1156</f>
        <v>0</v>
      </c>
      <c r="J1155" s="591">
        <f>J1156</f>
        <v>0</v>
      </c>
      <c r="K1155" s="591">
        <f t="shared" si="354"/>
        <v>0</v>
      </c>
      <c r="L1155" s="591">
        <f t="shared" si="355"/>
        <v>0</v>
      </c>
      <c r="M1155" s="217"/>
      <c r="N1155" s="426"/>
      <c r="R1155" s="591">
        <f t="shared" si="366"/>
        <v>100</v>
      </c>
      <c r="S1155" s="591">
        <f t="shared" si="366"/>
        <v>0</v>
      </c>
      <c r="T1155" s="217"/>
      <c r="U1155" s="288"/>
      <c r="V1155" s="288"/>
      <c r="W1155" s="203"/>
      <c r="X1155" s="203"/>
    </row>
    <row r="1156" spans="1:24" ht="15" hidden="1" x14ac:dyDescent="0.2">
      <c r="A1156" s="124" t="s">
        <v>1558</v>
      </c>
      <c r="B1156" s="243" t="s">
        <v>180</v>
      </c>
      <c r="C1156" s="353" t="s">
        <v>8</v>
      </c>
      <c r="D1156" s="353" t="s">
        <v>613</v>
      </c>
      <c r="E1156" s="386" t="s">
        <v>1656</v>
      </c>
      <c r="F1156" s="369" t="s">
        <v>634</v>
      </c>
      <c r="G1156" s="288"/>
      <c r="H1156" s="288"/>
      <c r="I1156" s="288"/>
      <c r="J1156" s="288"/>
      <c r="K1156" s="288">
        <f t="shared" si="354"/>
        <v>0</v>
      </c>
      <c r="L1156" s="288">
        <f t="shared" si="355"/>
        <v>0</v>
      </c>
      <c r="M1156" s="217"/>
      <c r="N1156" s="426"/>
      <c r="R1156" s="288">
        <v>100</v>
      </c>
      <c r="S1156" s="288"/>
      <c r="T1156" s="217"/>
      <c r="U1156" s="288"/>
      <c r="V1156" s="288"/>
      <c r="W1156" s="203"/>
      <c r="X1156" s="203"/>
    </row>
    <row r="1157" spans="1:24" ht="15" x14ac:dyDescent="0.2">
      <c r="A1157" s="746" t="s">
        <v>1540</v>
      </c>
      <c r="B1157" s="306" t="s">
        <v>180</v>
      </c>
      <c r="C1157" s="354" t="s">
        <v>8</v>
      </c>
      <c r="D1157" s="354" t="s">
        <v>613</v>
      </c>
      <c r="E1157" s="599" t="s">
        <v>1533</v>
      </c>
      <c r="F1157" s="582"/>
      <c r="G1157" s="591">
        <f>G1158+G1161</f>
        <v>0</v>
      </c>
      <c r="H1157" s="591">
        <f>H1158+H1161</f>
        <v>0</v>
      </c>
      <c r="I1157" s="591">
        <f>I1158+I1161</f>
        <v>5</v>
      </c>
      <c r="J1157" s="591">
        <f>J1158+J1161</f>
        <v>0</v>
      </c>
      <c r="K1157" s="591">
        <f t="shared" si="354"/>
        <v>5</v>
      </c>
      <c r="L1157" s="591">
        <f t="shared" si="355"/>
        <v>0</v>
      </c>
      <c r="M1157" s="217"/>
      <c r="N1157" s="426"/>
      <c r="R1157" s="591">
        <f>R1158</f>
        <v>0</v>
      </c>
      <c r="S1157" s="591">
        <f>S1158</f>
        <v>0</v>
      </c>
      <c r="T1157" s="217"/>
      <c r="U1157" s="288"/>
      <c r="V1157" s="288"/>
      <c r="W1157" s="203"/>
      <c r="X1157" s="203"/>
    </row>
    <row r="1158" spans="1:24" ht="15" x14ac:dyDescent="0.2">
      <c r="A1158" s="746" t="s">
        <v>1538</v>
      </c>
      <c r="B1158" s="306" t="s">
        <v>180</v>
      </c>
      <c r="C1158" s="354" t="s">
        <v>8</v>
      </c>
      <c r="D1158" s="354" t="s">
        <v>613</v>
      </c>
      <c r="E1158" s="599" t="s">
        <v>1534</v>
      </c>
      <c r="F1158" s="582"/>
      <c r="G1158" s="591">
        <f>G1160+G1159</f>
        <v>0</v>
      </c>
      <c r="H1158" s="591">
        <f>H1160+H1159</f>
        <v>0</v>
      </c>
      <c r="I1158" s="591">
        <f>I1160+I1159</f>
        <v>5</v>
      </c>
      <c r="J1158" s="591">
        <f>J1160+J1159</f>
        <v>0</v>
      </c>
      <c r="K1158" s="591">
        <f t="shared" si="354"/>
        <v>5</v>
      </c>
      <c r="L1158" s="591">
        <f t="shared" si="355"/>
        <v>0</v>
      </c>
      <c r="M1158" s="217"/>
      <c r="N1158" s="426"/>
      <c r="R1158" s="591">
        <f>R1160</f>
        <v>0</v>
      </c>
      <c r="S1158" s="591">
        <f>S1160</f>
        <v>0</v>
      </c>
      <c r="T1158" s="217"/>
      <c r="U1158" s="288"/>
      <c r="V1158" s="288"/>
      <c r="W1158" s="203"/>
      <c r="X1158" s="203"/>
    </row>
    <row r="1159" spans="1:24" ht="15" x14ac:dyDescent="0.2">
      <c r="A1159" s="739" t="s">
        <v>1558</v>
      </c>
      <c r="B1159" s="243" t="s">
        <v>180</v>
      </c>
      <c r="C1159" s="353" t="s">
        <v>8</v>
      </c>
      <c r="D1159" s="353" t="s">
        <v>613</v>
      </c>
      <c r="E1159" s="386" t="s">
        <v>1534</v>
      </c>
      <c r="F1159" s="369">
        <v>244</v>
      </c>
      <c r="G1159" s="288"/>
      <c r="H1159" s="288"/>
      <c r="I1159" s="288">
        <v>5</v>
      </c>
      <c r="J1159" s="288"/>
      <c r="K1159" s="288">
        <f t="shared" si="354"/>
        <v>5</v>
      </c>
      <c r="L1159" s="288">
        <f t="shared" si="355"/>
        <v>0</v>
      </c>
      <c r="M1159" s="217"/>
      <c r="N1159" s="426"/>
      <c r="R1159" s="288">
        <v>0</v>
      </c>
      <c r="S1159" s="288"/>
      <c r="T1159" s="217"/>
      <c r="U1159" s="288"/>
      <c r="V1159" s="288"/>
      <c r="W1159" s="203"/>
      <c r="X1159" s="203"/>
    </row>
    <row r="1160" spans="1:24" ht="15" hidden="1" x14ac:dyDescent="0.2">
      <c r="A1160" s="124" t="s">
        <v>1554</v>
      </c>
      <c r="B1160" s="243" t="s">
        <v>180</v>
      </c>
      <c r="C1160" s="353" t="s">
        <v>8</v>
      </c>
      <c r="D1160" s="353" t="s">
        <v>613</v>
      </c>
      <c r="E1160" s="386" t="s">
        <v>1534</v>
      </c>
      <c r="F1160" s="369">
        <v>350</v>
      </c>
      <c r="G1160" s="288"/>
      <c r="H1160" s="288"/>
      <c r="I1160" s="288"/>
      <c r="J1160" s="288"/>
      <c r="K1160" s="288">
        <f t="shared" si="354"/>
        <v>0</v>
      </c>
      <c r="L1160" s="288">
        <f t="shared" si="355"/>
        <v>0</v>
      </c>
      <c r="M1160" s="217"/>
      <c r="N1160" s="426"/>
      <c r="R1160" s="288">
        <v>0</v>
      </c>
      <c r="S1160" s="288"/>
      <c r="T1160" s="217"/>
      <c r="U1160" s="288"/>
      <c r="V1160" s="288"/>
      <c r="W1160" s="203"/>
      <c r="X1160" s="203"/>
    </row>
    <row r="1161" spans="1:24" ht="15" hidden="1" x14ac:dyDescent="0.2">
      <c r="A1161" s="645" t="s">
        <v>1654</v>
      </c>
      <c r="B1161" s="306" t="s">
        <v>180</v>
      </c>
      <c r="C1161" s="354" t="s">
        <v>8</v>
      </c>
      <c r="D1161" s="354" t="s">
        <v>613</v>
      </c>
      <c r="E1161" s="651" t="s">
        <v>1660</v>
      </c>
      <c r="F1161" s="650"/>
      <c r="G1161" s="591">
        <f>G1162</f>
        <v>0</v>
      </c>
      <c r="H1161" s="591">
        <f>H1162</f>
        <v>0</v>
      </c>
      <c r="I1161" s="591">
        <f>I1162</f>
        <v>0</v>
      </c>
      <c r="J1161" s="591">
        <f>J1162</f>
        <v>0</v>
      </c>
      <c r="K1161" s="591">
        <f t="shared" si="354"/>
        <v>0</v>
      </c>
      <c r="L1161" s="591">
        <f t="shared" si="355"/>
        <v>0</v>
      </c>
      <c r="M1161" s="217"/>
      <c r="N1161" s="426"/>
      <c r="R1161" s="288"/>
      <c r="S1161" s="288"/>
      <c r="T1161" s="217"/>
      <c r="U1161" s="288"/>
      <c r="V1161" s="288"/>
      <c r="W1161" s="203"/>
      <c r="X1161" s="203"/>
    </row>
    <row r="1162" spans="1:24" ht="15" hidden="1" x14ac:dyDescent="0.2">
      <c r="A1162" s="124" t="s">
        <v>1554</v>
      </c>
      <c r="B1162" s="243" t="s">
        <v>180</v>
      </c>
      <c r="C1162" s="353" t="s">
        <v>8</v>
      </c>
      <c r="D1162" s="353" t="s">
        <v>613</v>
      </c>
      <c r="E1162" s="386" t="s">
        <v>1660</v>
      </c>
      <c r="F1162" s="369">
        <v>350</v>
      </c>
      <c r="G1162" s="288"/>
      <c r="H1162" s="288"/>
      <c r="I1162" s="288"/>
      <c r="J1162" s="288"/>
      <c r="K1162" s="288">
        <f t="shared" si="354"/>
        <v>0</v>
      </c>
      <c r="L1162" s="288">
        <f t="shared" si="355"/>
        <v>0</v>
      </c>
      <c r="M1162" s="217"/>
      <c r="N1162" s="426"/>
      <c r="R1162" s="288"/>
      <c r="S1162" s="288"/>
      <c r="T1162" s="217"/>
      <c r="U1162" s="288"/>
      <c r="V1162" s="288"/>
      <c r="W1162" s="203"/>
      <c r="X1162" s="203"/>
    </row>
    <row r="1163" spans="1:24" ht="15" x14ac:dyDescent="0.2">
      <c r="A1163" s="746" t="s">
        <v>1515</v>
      </c>
      <c r="B1163" s="306" t="s">
        <v>180</v>
      </c>
      <c r="C1163" s="354" t="s">
        <v>8</v>
      </c>
      <c r="D1163" s="354" t="s">
        <v>613</v>
      </c>
      <c r="E1163" s="599" t="s">
        <v>1508</v>
      </c>
      <c r="F1163" s="582"/>
      <c r="G1163" s="591">
        <f>G1164+G1166</f>
        <v>15</v>
      </c>
      <c r="H1163" s="591">
        <f>H1164+H1166</f>
        <v>0</v>
      </c>
      <c r="I1163" s="591">
        <f>I1164+I1166</f>
        <v>15</v>
      </c>
      <c r="J1163" s="591">
        <f>J1164+J1166</f>
        <v>0</v>
      </c>
      <c r="K1163" s="591">
        <f t="shared" si="354"/>
        <v>0</v>
      </c>
      <c r="L1163" s="591">
        <f t="shared" si="355"/>
        <v>0</v>
      </c>
      <c r="M1163" s="217"/>
      <c r="N1163" s="426"/>
      <c r="R1163" s="591">
        <f>R1164+R1166</f>
        <v>232.5</v>
      </c>
      <c r="S1163" s="591">
        <f>S1164+S1166</f>
        <v>0</v>
      </c>
      <c r="T1163" s="217"/>
      <c r="U1163" s="288"/>
      <c r="V1163" s="288"/>
      <c r="W1163" s="203"/>
      <c r="X1163" s="203"/>
    </row>
    <row r="1164" spans="1:24" ht="15" x14ac:dyDescent="0.2">
      <c r="A1164" s="746" t="s">
        <v>1513</v>
      </c>
      <c r="B1164" s="306" t="s">
        <v>180</v>
      </c>
      <c r="C1164" s="354" t="s">
        <v>8</v>
      </c>
      <c r="D1164" s="354" t="s">
        <v>613</v>
      </c>
      <c r="E1164" s="599" t="s">
        <v>1509</v>
      </c>
      <c r="F1164" s="582"/>
      <c r="G1164" s="591">
        <f>G1165</f>
        <v>15</v>
      </c>
      <c r="H1164" s="591">
        <f>H1165</f>
        <v>0</v>
      </c>
      <c r="I1164" s="591">
        <f>I1165</f>
        <v>15</v>
      </c>
      <c r="J1164" s="591">
        <f>J1165</f>
        <v>0</v>
      </c>
      <c r="K1164" s="591">
        <f t="shared" ref="K1164:K1238" si="367">I1164-G1164</f>
        <v>0</v>
      </c>
      <c r="L1164" s="591">
        <f t="shared" ref="L1164:L1238" si="368">J1164-H1164</f>
        <v>0</v>
      </c>
      <c r="M1164" s="217"/>
      <c r="N1164" s="426"/>
      <c r="R1164" s="591">
        <f t="shared" ref="R1164:S1166" si="369">R1165</f>
        <v>0</v>
      </c>
      <c r="S1164" s="591">
        <f t="shared" si="369"/>
        <v>0</v>
      </c>
      <c r="T1164" s="217"/>
      <c r="U1164" s="288"/>
      <c r="V1164" s="288"/>
      <c r="W1164" s="203"/>
      <c r="X1164" s="203"/>
    </row>
    <row r="1165" spans="1:24" ht="15" x14ac:dyDescent="0.2">
      <c r="A1165" s="739" t="s">
        <v>1554</v>
      </c>
      <c r="B1165" s="243" t="s">
        <v>180</v>
      </c>
      <c r="C1165" s="353" t="s">
        <v>8</v>
      </c>
      <c r="D1165" s="353" t="s">
        <v>613</v>
      </c>
      <c r="E1165" s="386" t="s">
        <v>1509</v>
      </c>
      <c r="F1165" s="369">
        <v>350</v>
      </c>
      <c r="G1165" s="288">
        <v>15</v>
      </c>
      <c r="H1165" s="288"/>
      <c r="I1165" s="288">
        <v>15</v>
      </c>
      <c r="J1165" s="288"/>
      <c r="K1165" s="288">
        <f t="shared" si="367"/>
        <v>0</v>
      </c>
      <c r="L1165" s="288">
        <f t="shared" si="368"/>
        <v>0</v>
      </c>
      <c r="M1165" s="217"/>
      <c r="N1165" s="426"/>
      <c r="R1165" s="288">
        <v>0</v>
      </c>
      <c r="S1165" s="288"/>
      <c r="T1165" s="217"/>
      <c r="U1165" s="288"/>
      <c r="V1165" s="288"/>
      <c r="W1165" s="203"/>
      <c r="X1165" s="203"/>
    </row>
    <row r="1166" spans="1:24" ht="15" hidden="1" x14ac:dyDescent="0.2">
      <c r="A1166" s="598" t="s">
        <v>1654</v>
      </c>
      <c r="B1166" s="306" t="s">
        <v>180</v>
      </c>
      <c r="C1166" s="354" t="s">
        <v>8</v>
      </c>
      <c r="D1166" s="354" t="s">
        <v>613</v>
      </c>
      <c r="E1166" s="613" t="s">
        <v>1657</v>
      </c>
      <c r="F1166" s="599"/>
      <c r="G1166" s="591">
        <f>G1167</f>
        <v>0</v>
      </c>
      <c r="H1166" s="591">
        <f>H1167</f>
        <v>0</v>
      </c>
      <c r="I1166" s="591">
        <f>I1167</f>
        <v>0</v>
      </c>
      <c r="J1166" s="591">
        <f>J1167</f>
        <v>0</v>
      </c>
      <c r="K1166" s="591">
        <f t="shared" si="367"/>
        <v>0</v>
      </c>
      <c r="L1166" s="591">
        <f t="shared" si="368"/>
        <v>0</v>
      </c>
      <c r="M1166" s="217"/>
      <c r="N1166" s="426"/>
      <c r="R1166" s="591">
        <f t="shared" si="369"/>
        <v>232.5</v>
      </c>
      <c r="S1166" s="591">
        <f t="shared" si="369"/>
        <v>0</v>
      </c>
      <c r="T1166" s="217"/>
      <c r="U1166" s="288"/>
      <c r="V1166" s="288"/>
      <c r="W1166" s="203"/>
      <c r="X1166" s="203"/>
    </row>
    <row r="1167" spans="1:24" ht="15" hidden="1" x14ac:dyDescent="0.2">
      <c r="A1167" s="124" t="s">
        <v>1554</v>
      </c>
      <c r="B1167" s="243" t="s">
        <v>180</v>
      </c>
      <c r="C1167" s="353" t="s">
        <v>8</v>
      </c>
      <c r="D1167" s="353" t="s">
        <v>613</v>
      </c>
      <c r="E1167" s="386" t="s">
        <v>1657</v>
      </c>
      <c r="F1167" s="369">
        <v>350</v>
      </c>
      <c r="G1167" s="288"/>
      <c r="H1167" s="288"/>
      <c r="I1167" s="288"/>
      <c r="J1167" s="288"/>
      <c r="K1167" s="288">
        <f t="shared" si="367"/>
        <v>0</v>
      </c>
      <c r="L1167" s="288">
        <f t="shared" si="368"/>
        <v>0</v>
      </c>
      <c r="M1167" s="217"/>
      <c r="N1167" s="426"/>
      <c r="R1167" s="288">
        <v>232.5</v>
      </c>
      <c r="S1167" s="288"/>
      <c r="T1167" s="217"/>
      <c r="U1167" s="288"/>
      <c r="V1167" s="288"/>
      <c r="W1167" s="203"/>
      <c r="X1167" s="203"/>
    </row>
    <row r="1168" spans="1:24" ht="15" hidden="1" x14ac:dyDescent="0.2">
      <c r="A1168" s="626" t="s">
        <v>1774</v>
      </c>
      <c r="B1168" s="306" t="s">
        <v>180</v>
      </c>
      <c r="C1168" s="354" t="s">
        <v>8</v>
      </c>
      <c r="D1168" s="354" t="s">
        <v>613</v>
      </c>
      <c r="E1168" s="599" t="s">
        <v>1535</v>
      </c>
      <c r="F1168" s="582"/>
      <c r="G1168" s="591">
        <f t="shared" ref="G1168:J1169" si="370">G1169</f>
        <v>0</v>
      </c>
      <c r="H1168" s="591">
        <f t="shared" si="370"/>
        <v>0</v>
      </c>
      <c r="I1168" s="591">
        <f t="shared" si="370"/>
        <v>0</v>
      </c>
      <c r="J1168" s="591">
        <f t="shared" si="370"/>
        <v>0</v>
      </c>
      <c r="K1168" s="591">
        <f t="shared" si="367"/>
        <v>0</v>
      </c>
      <c r="L1168" s="591">
        <f t="shared" si="368"/>
        <v>0</v>
      </c>
      <c r="M1168" s="217"/>
      <c r="N1168" s="426"/>
      <c r="R1168" s="591">
        <f>R1169</f>
        <v>30</v>
      </c>
      <c r="S1168" s="591">
        <f>S1169</f>
        <v>0</v>
      </c>
      <c r="T1168" s="217"/>
      <c r="U1168" s="288"/>
      <c r="V1168" s="288"/>
      <c r="W1168" s="203"/>
      <c r="X1168" s="203"/>
    </row>
    <row r="1169" spans="1:24" ht="15" hidden="1" x14ac:dyDescent="0.2">
      <c r="A1169" s="626" t="s">
        <v>1513</v>
      </c>
      <c r="B1169" s="306" t="s">
        <v>180</v>
      </c>
      <c r="C1169" s="354" t="s">
        <v>8</v>
      </c>
      <c r="D1169" s="354" t="s">
        <v>613</v>
      </c>
      <c r="E1169" s="599" t="s">
        <v>1557</v>
      </c>
      <c r="F1169" s="582"/>
      <c r="G1169" s="591">
        <f t="shared" si="370"/>
        <v>0</v>
      </c>
      <c r="H1169" s="591">
        <f t="shared" si="370"/>
        <v>0</v>
      </c>
      <c r="I1169" s="591">
        <f t="shared" si="370"/>
        <v>0</v>
      </c>
      <c r="J1169" s="591">
        <f t="shared" si="370"/>
        <v>0</v>
      </c>
      <c r="K1169" s="591">
        <f t="shared" si="367"/>
        <v>0</v>
      </c>
      <c r="L1169" s="591">
        <f t="shared" si="368"/>
        <v>0</v>
      </c>
      <c r="M1169" s="217"/>
      <c r="N1169" s="426"/>
      <c r="R1169" s="591">
        <f>R1170</f>
        <v>30</v>
      </c>
      <c r="S1169" s="591">
        <f>S1170</f>
        <v>0</v>
      </c>
      <c r="T1169" s="217"/>
      <c r="U1169" s="288"/>
      <c r="V1169" s="288"/>
      <c r="W1169" s="203"/>
      <c r="X1169" s="203"/>
    </row>
    <row r="1170" spans="1:24" ht="15" hidden="1" x14ac:dyDescent="0.2">
      <c r="A1170" s="124" t="s">
        <v>1554</v>
      </c>
      <c r="B1170" s="243" t="s">
        <v>180</v>
      </c>
      <c r="C1170" s="353" t="s">
        <v>8</v>
      </c>
      <c r="D1170" s="353" t="s">
        <v>613</v>
      </c>
      <c r="E1170" s="386" t="s">
        <v>1557</v>
      </c>
      <c r="F1170" s="369">
        <v>350</v>
      </c>
      <c r="G1170" s="288"/>
      <c r="H1170" s="288"/>
      <c r="I1170" s="288"/>
      <c r="J1170" s="288"/>
      <c r="K1170" s="288">
        <f t="shared" si="367"/>
        <v>0</v>
      </c>
      <c r="L1170" s="288">
        <f t="shared" si="368"/>
        <v>0</v>
      </c>
      <c r="M1170" s="217"/>
      <c r="N1170" s="426"/>
      <c r="R1170" s="288">
        <v>30</v>
      </c>
      <c r="S1170" s="288"/>
      <c r="T1170" s="217"/>
      <c r="U1170" s="288"/>
      <c r="V1170" s="288"/>
      <c r="W1170" s="203"/>
      <c r="X1170" s="203"/>
    </row>
    <row r="1171" spans="1:24" ht="25.5" x14ac:dyDescent="0.2">
      <c r="A1171" s="746" t="s">
        <v>1766</v>
      </c>
      <c r="B1171" s="306" t="s">
        <v>180</v>
      </c>
      <c r="C1171" s="354" t="s">
        <v>8</v>
      </c>
      <c r="D1171" s="354" t="s">
        <v>613</v>
      </c>
      <c r="E1171" s="599" t="s">
        <v>1547</v>
      </c>
      <c r="F1171" s="582"/>
      <c r="G1171" s="591">
        <f t="shared" ref="G1171:J1173" si="371">G1172</f>
        <v>3604.9618399999999</v>
      </c>
      <c r="H1171" s="591">
        <f t="shared" si="371"/>
        <v>0</v>
      </c>
      <c r="I1171" s="591">
        <f t="shared" si="371"/>
        <v>3573.4693900000002</v>
      </c>
      <c r="J1171" s="591">
        <f t="shared" si="371"/>
        <v>0</v>
      </c>
      <c r="K1171" s="591">
        <f t="shared" si="367"/>
        <v>-31.492449999999735</v>
      </c>
      <c r="L1171" s="591">
        <f t="shared" si="368"/>
        <v>0</v>
      </c>
      <c r="M1171" s="217"/>
      <c r="N1171" s="426"/>
      <c r="R1171" s="591">
        <f t="shared" ref="R1171:S1173" si="372">R1172</f>
        <v>603.51394000000005</v>
      </c>
      <c r="S1171" s="591">
        <f t="shared" si="372"/>
        <v>0</v>
      </c>
      <c r="T1171" s="217"/>
      <c r="U1171" s="288"/>
      <c r="V1171" s="288"/>
      <c r="W1171" s="203"/>
      <c r="X1171" s="203"/>
    </row>
    <row r="1172" spans="1:24" ht="25.5" x14ac:dyDescent="0.2">
      <c r="A1172" s="746" t="s">
        <v>1773</v>
      </c>
      <c r="B1172" s="306" t="s">
        <v>180</v>
      </c>
      <c r="C1172" s="354" t="s">
        <v>8</v>
      </c>
      <c r="D1172" s="354" t="s">
        <v>613</v>
      </c>
      <c r="E1172" s="599" t="s">
        <v>1548</v>
      </c>
      <c r="F1172" s="582"/>
      <c r="G1172" s="591">
        <f t="shared" si="371"/>
        <v>3604.9618399999999</v>
      </c>
      <c r="H1172" s="591">
        <f t="shared" si="371"/>
        <v>0</v>
      </c>
      <c r="I1172" s="591">
        <f t="shared" si="371"/>
        <v>3573.4693900000002</v>
      </c>
      <c r="J1172" s="591">
        <f t="shared" si="371"/>
        <v>0</v>
      </c>
      <c r="K1172" s="591">
        <f t="shared" si="367"/>
        <v>-31.492449999999735</v>
      </c>
      <c r="L1172" s="591">
        <f t="shared" si="368"/>
        <v>0</v>
      </c>
      <c r="M1172" s="217"/>
      <c r="N1172" s="426"/>
      <c r="R1172" s="591">
        <f t="shared" si="372"/>
        <v>603.51394000000005</v>
      </c>
      <c r="S1172" s="591">
        <f t="shared" si="372"/>
        <v>0</v>
      </c>
      <c r="T1172" s="217"/>
      <c r="U1172" s="288"/>
      <c r="V1172" s="288"/>
      <c r="W1172" s="203"/>
      <c r="X1172" s="203"/>
    </row>
    <row r="1173" spans="1:24" ht="25.5" x14ac:dyDescent="0.2">
      <c r="A1173" s="746" t="s">
        <v>781</v>
      </c>
      <c r="B1173" s="306" t="s">
        <v>180</v>
      </c>
      <c r="C1173" s="354" t="s">
        <v>8</v>
      </c>
      <c r="D1173" s="354" t="s">
        <v>613</v>
      </c>
      <c r="E1173" s="599" t="s">
        <v>1549</v>
      </c>
      <c r="F1173" s="582"/>
      <c r="G1173" s="591">
        <f t="shared" si="371"/>
        <v>3604.9618399999999</v>
      </c>
      <c r="H1173" s="591">
        <f t="shared" si="371"/>
        <v>0</v>
      </c>
      <c r="I1173" s="591">
        <f t="shared" si="371"/>
        <v>3573.4693900000002</v>
      </c>
      <c r="J1173" s="591">
        <f t="shared" si="371"/>
        <v>0</v>
      </c>
      <c r="K1173" s="591">
        <f t="shared" si="367"/>
        <v>-31.492449999999735</v>
      </c>
      <c r="L1173" s="591">
        <f t="shared" si="368"/>
        <v>0</v>
      </c>
      <c r="M1173" s="217"/>
      <c r="N1173" s="426"/>
      <c r="R1173" s="591">
        <f t="shared" si="372"/>
        <v>603.51394000000005</v>
      </c>
      <c r="S1173" s="591">
        <f t="shared" si="372"/>
        <v>0</v>
      </c>
      <c r="T1173" s="217"/>
      <c r="U1173" s="288"/>
      <c r="V1173" s="288"/>
      <c r="W1173" s="203"/>
      <c r="X1173" s="203"/>
    </row>
    <row r="1174" spans="1:24" ht="15" x14ac:dyDescent="0.2">
      <c r="A1174" s="739" t="s">
        <v>126</v>
      </c>
      <c r="B1174" s="243" t="s">
        <v>180</v>
      </c>
      <c r="C1174" s="353" t="s">
        <v>8</v>
      </c>
      <c r="D1174" s="353" t="s">
        <v>613</v>
      </c>
      <c r="E1174" s="369" t="s">
        <v>1549</v>
      </c>
      <c r="F1174" s="369">
        <v>622</v>
      </c>
      <c r="G1174" s="288">
        <v>3604.9618399999999</v>
      </c>
      <c r="H1174" s="288"/>
      <c r="I1174" s="288">
        <v>3573.4693900000002</v>
      </c>
      <c r="J1174" s="288"/>
      <c r="K1174" s="288">
        <f t="shared" si="367"/>
        <v>-31.492449999999735</v>
      </c>
      <c r="L1174" s="288">
        <f t="shared" si="368"/>
        <v>0</v>
      </c>
      <c r="M1174" s="217"/>
      <c r="N1174" s="426"/>
      <c r="R1174" s="288">
        <v>603.51394000000005</v>
      </c>
      <c r="S1174" s="288"/>
      <c r="T1174" s="217"/>
      <c r="U1174" s="288"/>
      <c r="V1174" s="288"/>
      <c r="W1174" s="203"/>
      <c r="X1174" s="203"/>
    </row>
    <row r="1175" spans="1:24" ht="25.5" x14ac:dyDescent="0.2">
      <c r="A1175" s="746" t="s">
        <v>1297</v>
      </c>
      <c r="B1175" s="306" t="s">
        <v>180</v>
      </c>
      <c r="C1175" s="354" t="s">
        <v>8</v>
      </c>
      <c r="D1175" s="354" t="s">
        <v>613</v>
      </c>
      <c r="E1175" s="450" t="s">
        <v>729</v>
      </c>
      <c r="F1175" s="450"/>
      <c r="G1175" s="591">
        <f>G1179+G1186+G1189+G1182+G1176</f>
        <v>75</v>
      </c>
      <c r="H1175" s="591">
        <f>H1179+H1186+H1189+H1182</f>
        <v>0</v>
      </c>
      <c r="I1175" s="591">
        <f>I1179+I1186+I1189+I1182+I1176</f>
        <v>75</v>
      </c>
      <c r="J1175" s="591">
        <f>J1179+J1186+J1189+J1182</f>
        <v>0</v>
      </c>
      <c r="K1175" s="591">
        <f t="shared" si="367"/>
        <v>0</v>
      </c>
      <c r="L1175" s="591">
        <f t="shared" si="368"/>
        <v>0</v>
      </c>
      <c r="M1175" s="217">
        <f t="shared" si="347"/>
        <v>0</v>
      </c>
      <c r="N1175" s="171"/>
      <c r="R1175" s="591">
        <f>R1179+R1186+R1189+R1182+R1176</f>
        <v>255</v>
      </c>
      <c r="S1175" s="591">
        <f>S1179+S1186+S1189+S1182</f>
        <v>0</v>
      </c>
      <c r="T1175" s="217">
        <f t="shared" ref="T1175:T1204" si="373">I1175-G1175</f>
        <v>0</v>
      </c>
      <c r="U1175" s="498">
        <f>U1179+U1186+U1189+U1182</f>
        <v>85</v>
      </c>
      <c r="V1175" s="498">
        <f>V1179+V1186+V1189+V1182</f>
        <v>0</v>
      </c>
      <c r="W1175" s="203">
        <f t="shared" ref="W1175:W1279" si="374">G1175-I1175</f>
        <v>0</v>
      </c>
      <c r="X1175" s="203">
        <f t="shared" ref="X1175:X1279" si="375">K1175+W1175</f>
        <v>0</v>
      </c>
    </row>
    <row r="1176" spans="1:24" ht="25.5" x14ac:dyDescent="0.2">
      <c r="A1176" s="746" t="s">
        <v>743</v>
      </c>
      <c r="B1176" s="306" t="s">
        <v>180</v>
      </c>
      <c r="C1176" s="354" t="s">
        <v>8</v>
      </c>
      <c r="D1176" s="354" t="s">
        <v>613</v>
      </c>
      <c r="E1176" s="545">
        <v>8200100000</v>
      </c>
      <c r="F1176" s="545"/>
      <c r="G1176" s="591">
        <f t="shared" ref="G1176:J1177" si="376">G1177</f>
        <v>10</v>
      </c>
      <c r="H1176" s="591">
        <f t="shared" si="376"/>
        <v>0</v>
      </c>
      <c r="I1176" s="591">
        <f t="shared" si="376"/>
        <v>10</v>
      </c>
      <c r="J1176" s="591">
        <f t="shared" si="376"/>
        <v>0</v>
      </c>
      <c r="K1176" s="591">
        <f t="shared" si="367"/>
        <v>0</v>
      </c>
      <c r="L1176" s="591">
        <f t="shared" si="368"/>
        <v>0</v>
      </c>
      <c r="M1176" s="217"/>
      <c r="N1176" s="171"/>
      <c r="R1176" s="591">
        <f>R1177</f>
        <v>170</v>
      </c>
      <c r="S1176" s="591">
        <f>S1177</f>
        <v>0</v>
      </c>
      <c r="T1176" s="217"/>
      <c r="U1176" s="498"/>
      <c r="V1176" s="498"/>
      <c r="W1176" s="203"/>
      <c r="X1176" s="203"/>
    </row>
    <row r="1177" spans="1:24" ht="15" x14ac:dyDescent="0.2">
      <c r="A1177" s="746" t="s">
        <v>734</v>
      </c>
      <c r="B1177" s="306" t="s">
        <v>180</v>
      </c>
      <c r="C1177" s="354" t="s">
        <v>8</v>
      </c>
      <c r="D1177" s="354" t="s">
        <v>613</v>
      </c>
      <c r="E1177" s="545">
        <v>8200182460</v>
      </c>
      <c r="F1177" s="545"/>
      <c r="G1177" s="591">
        <f t="shared" si="376"/>
        <v>10</v>
      </c>
      <c r="H1177" s="591">
        <f t="shared" si="376"/>
        <v>0</v>
      </c>
      <c r="I1177" s="591">
        <f t="shared" si="376"/>
        <v>10</v>
      </c>
      <c r="J1177" s="591">
        <f t="shared" si="376"/>
        <v>0</v>
      </c>
      <c r="K1177" s="591">
        <f t="shared" si="367"/>
        <v>0</v>
      </c>
      <c r="L1177" s="591">
        <f t="shared" si="368"/>
        <v>0</v>
      </c>
      <c r="M1177" s="217"/>
      <c r="N1177" s="171"/>
      <c r="R1177" s="591">
        <f>R1178</f>
        <v>170</v>
      </c>
      <c r="S1177" s="591">
        <f>S1178</f>
        <v>0</v>
      </c>
      <c r="T1177" s="217"/>
      <c r="U1177" s="498"/>
      <c r="V1177" s="498"/>
      <c r="W1177" s="203"/>
      <c r="X1177" s="203"/>
    </row>
    <row r="1178" spans="1:24" ht="15" x14ac:dyDescent="0.2">
      <c r="A1178" s="739" t="s">
        <v>834</v>
      </c>
      <c r="B1178" s="243" t="s">
        <v>180</v>
      </c>
      <c r="C1178" s="353" t="s">
        <v>8</v>
      </c>
      <c r="D1178" s="353" t="s">
        <v>613</v>
      </c>
      <c r="E1178" s="369">
        <v>8200182460</v>
      </c>
      <c r="F1178" s="369" t="s">
        <v>634</v>
      </c>
      <c r="G1178" s="288">
        <v>10</v>
      </c>
      <c r="H1178" s="288"/>
      <c r="I1178" s="288">
        <v>10</v>
      </c>
      <c r="J1178" s="288"/>
      <c r="K1178" s="288">
        <f t="shared" si="367"/>
        <v>0</v>
      </c>
      <c r="L1178" s="288">
        <f t="shared" si="368"/>
        <v>0</v>
      </c>
      <c r="M1178" s="217"/>
      <c r="N1178" s="171"/>
      <c r="R1178" s="288">
        <f>160+10</f>
        <v>170</v>
      </c>
      <c r="S1178" s="288"/>
      <c r="T1178" s="217"/>
      <c r="U1178" s="498"/>
      <c r="V1178" s="498"/>
      <c r="W1178" s="203"/>
      <c r="X1178" s="203"/>
    </row>
    <row r="1179" spans="1:24" ht="15" x14ac:dyDescent="0.2">
      <c r="A1179" s="746" t="s">
        <v>520</v>
      </c>
      <c r="B1179" s="306" t="s">
        <v>180</v>
      </c>
      <c r="C1179" s="354" t="s">
        <v>8</v>
      </c>
      <c r="D1179" s="354" t="s">
        <v>613</v>
      </c>
      <c r="E1179" s="450" t="s">
        <v>746</v>
      </c>
      <c r="F1179" s="450"/>
      <c r="G1179" s="591">
        <f t="shared" ref="G1179:J1180" si="377">G1180</f>
        <v>5</v>
      </c>
      <c r="H1179" s="591">
        <f t="shared" si="377"/>
        <v>0</v>
      </c>
      <c r="I1179" s="591">
        <f t="shared" si="377"/>
        <v>5</v>
      </c>
      <c r="J1179" s="591">
        <f t="shared" si="377"/>
        <v>0</v>
      </c>
      <c r="K1179" s="591">
        <f t="shared" si="367"/>
        <v>0</v>
      </c>
      <c r="L1179" s="591">
        <f t="shared" si="368"/>
        <v>0</v>
      </c>
      <c r="M1179" s="217">
        <f t="shared" si="347"/>
        <v>0</v>
      </c>
      <c r="N1179" s="171"/>
      <c r="R1179" s="591">
        <f>R1180</f>
        <v>5</v>
      </c>
      <c r="S1179" s="591">
        <f>S1180</f>
        <v>0</v>
      </c>
      <c r="T1179" s="217">
        <f t="shared" si="373"/>
        <v>0</v>
      </c>
      <c r="U1179" s="498">
        <f>U1180</f>
        <v>5</v>
      </c>
      <c r="V1179" s="498">
        <f>V1180</f>
        <v>0</v>
      </c>
      <c r="W1179" s="203">
        <f t="shared" si="374"/>
        <v>0</v>
      </c>
      <c r="X1179" s="203">
        <f t="shared" si="375"/>
        <v>0</v>
      </c>
    </row>
    <row r="1180" spans="1:24" ht="15" x14ac:dyDescent="0.2">
      <c r="A1180" s="746" t="s">
        <v>734</v>
      </c>
      <c r="B1180" s="306" t="s">
        <v>180</v>
      </c>
      <c r="C1180" s="354" t="s">
        <v>8</v>
      </c>
      <c r="D1180" s="354" t="s">
        <v>613</v>
      </c>
      <c r="E1180" s="450" t="s">
        <v>759</v>
      </c>
      <c r="F1180" s="450"/>
      <c r="G1180" s="591">
        <f t="shared" si="377"/>
        <v>5</v>
      </c>
      <c r="H1180" s="591">
        <f t="shared" si="377"/>
        <v>0</v>
      </c>
      <c r="I1180" s="591">
        <f t="shared" si="377"/>
        <v>5</v>
      </c>
      <c r="J1180" s="591">
        <f t="shared" si="377"/>
        <v>0</v>
      </c>
      <c r="K1180" s="591">
        <f t="shared" si="367"/>
        <v>0</v>
      </c>
      <c r="L1180" s="591">
        <f t="shared" si="368"/>
        <v>0</v>
      </c>
      <c r="M1180" s="217">
        <f t="shared" si="347"/>
        <v>0</v>
      </c>
      <c r="N1180" s="171"/>
      <c r="R1180" s="591">
        <f>R1181</f>
        <v>5</v>
      </c>
      <c r="S1180" s="591">
        <f>S1181</f>
        <v>0</v>
      </c>
      <c r="T1180" s="217">
        <f t="shared" si="373"/>
        <v>0</v>
      </c>
      <c r="U1180" s="498">
        <f>U1181</f>
        <v>5</v>
      </c>
      <c r="V1180" s="498">
        <f>V1181</f>
        <v>0</v>
      </c>
      <c r="W1180" s="203">
        <f t="shared" si="374"/>
        <v>0</v>
      </c>
      <c r="X1180" s="203">
        <f t="shared" si="375"/>
        <v>0</v>
      </c>
    </row>
    <row r="1181" spans="1:24" ht="15" x14ac:dyDescent="0.2">
      <c r="A1181" s="739" t="s">
        <v>834</v>
      </c>
      <c r="B1181" s="243" t="s">
        <v>180</v>
      </c>
      <c r="C1181" s="353" t="s">
        <v>8</v>
      </c>
      <c r="D1181" s="353" t="s">
        <v>613</v>
      </c>
      <c r="E1181" s="369" t="s">
        <v>759</v>
      </c>
      <c r="F1181" s="369" t="s">
        <v>634</v>
      </c>
      <c r="G1181" s="288">
        <v>5</v>
      </c>
      <c r="H1181" s="288"/>
      <c r="I1181" s="288">
        <v>5</v>
      </c>
      <c r="J1181" s="288"/>
      <c r="K1181" s="43">
        <f t="shared" si="367"/>
        <v>0</v>
      </c>
      <c r="L1181" s="43">
        <f t="shared" si="368"/>
        <v>0</v>
      </c>
      <c r="M1181" s="217">
        <f t="shared" ref="M1181:M1277" si="378">I1181-G1181-K1181</f>
        <v>0</v>
      </c>
      <c r="N1181" s="171"/>
      <c r="P1181" s="171">
        <v>5</v>
      </c>
      <c r="Q1181" s="245"/>
      <c r="R1181" s="288">
        <v>5</v>
      </c>
      <c r="S1181" s="288"/>
      <c r="T1181" s="217">
        <f t="shared" si="373"/>
        <v>0</v>
      </c>
      <c r="U1181" s="288">
        <v>5</v>
      </c>
      <c r="V1181" s="288">
        <v>0</v>
      </c>
      <c r="W1181" s="203">
        <f t="shared" si="374"/>
        <v>0</v>
      </c>
      <c r="X1181" s="203">
        <f t="shared" si="375"/>
        <v>0</v>
      </c>
    </row>
    <row r="1182" spans="1:24" ht="28.5" hidden="1" customHeight="1" x14ac:dyDescent="0.2">
      <c r="A1182" s="451" t="s">
        <v>518</v>
      </c>
      <c r="B1182" s="306" t="s">
        <v>180</v>
      </c>
      <c r="C1182" s="354" t="s">
        <v>8</v>
      </c>
      <c r="D1182" s="354" t="s">
        <v>613</v>
      </c>
      <c r="E1182" s="450">
        <v>8200500000</v>
      </c>
      <c r="F1182" s="450"/>
      <c r="G1182" s="498">
        <f>G1183</f>
        <v>0</v>
      </c>
      <c r="H1182" s="498">
        <f>H1183</f>
        <v>0</v>
      </c>
      <c r="I1182" s="591">
        <f>I1183</f>
        <v>0</v>
      </c>
      <c r="J1182" s="591">
        <f>J1183</f>
        <v>0</v>
      </c>
      <c r="K1182" s="591">
        <f>I1182-G1182</f>
        <v>0</v>
      </c>
      <c r="L1182" s="591">
        <f t="shared" si="368"/>
        <v>0</v>
      </c>
      <c r="M1182" s="217">
        <f t="shared" si="378"/>
        <v>0</v>
      </c>
      <c r="N1182" s="171"/>
      <c r="P1182" s="171"/>
      <c r="Q1182" s="245"/>
      <c r="R1182" s="591">
        <f>R1183</f>
        <v>30</v>
      </c>
      <c r="S1182" s="591">
        <f>S1183</f>
        <v>0</v>
      </c>
      <c r="T1182" s="217"/>
      <c r="U1182" s="498">
        <f>U1183</f>
        <v>30</v>
      </c>
      <c r="V1182" s="498">
        <f>V1183</f>
        <v>0</v>
      </c>
      <c r="W1182" s="203"/>
      <c r="X1182" s="203"/>
    </row>
    <row r="1183" spans="1:24" ht="15" hidden="1" x14ac:dyDescent="0.2">
      <c r="A1183" s="451" t="s">
        <v>734</v>
      </c>
      <c r="B1183" s="306" t="s">
        <v>180</v>
      </c>
      <c r="C1183" s="354" t="s">
        <v>8</v>
      </c>
      <c r="D1183" s="354" t="s">
        <v>613</v>
      </c>
      <c r="E1183" s="450">
        <v>8200582460</v>
      </c>
      <c r="F1183" s="450"/>
      <c r="G1183" s="498">
        <f t="shared" ref="G1183:L1183" si="379">G1184+G1185</f>
        <v>0</v>
      </c>
      <c r="H1183" s="591">
        <f t="shared" si="379"/>
        <v>0</v>
      </c>
      <c r="I1183" s="591">
        <f t="shared" si="379"/>
        <v>0</v>
      </c>
      <c r="J1183" s="591">
        <f t="shared" si="379"/>
        <v>0</v>
      </c>
      <c r="K1183" s="591">
        <f t="shared" si="379"/>
        <v>0</v>
      </c>
      <c r="L1183" s="591">
        <f t="shared" si="379"/>
        <v>0</v>
      </c>
      <c r="M1183" s="217">
        <f t="shared" si="378"/>
        <v>0</v>
      </c>
      <c r="N1183" s="171"/>
      <c r="P1183" s="171"/>
      <c r="Q1183" s="245"/>
      <c r="R1183" s="591">
        <f>R1184</f>
        <v>30</v>
      </c>
      <c r="S1183" s="591">
        <f>S1184</f>
        <v>0</v>
      </c>
      <c r="T1183" s="217"/>
      <c r="U1183" s="498">
        <f>U1184</f>
        <v>30</v>
      </c>
      <c r="V1183" s="498">
        <f>V1184</f>
        <v>0</v>
      </c>
      <c r="W1183" s="203"/>
      <c r="X1183" s="203"/>
    </row>
    <row r="1184" spans="1:24" ht="15" hidden="1" x14ac:dyDescent="0.2">
      <c r="A1184" s="124" t="s">
        <v>834</v>
      </c>
      <c r="B1184" s="243" t="s">
        <v>180</v>
      </c>
      <c r="C1184" s="353" t="s">
        <v>8</v>
      </c>
      <c r="D1184" s="353" t="s">
        <v>613</v>
      </c>
      <c r="E1184" s="369">
        <v>8200582460</v>
      </c>
      <c r="F1184" s="369" t="s">
        <v>634</v>
      </c>
      <c r="G1184" s="288"/>
      <c r="H1184" s="288"/>
      <c r="I1184" s="288"/>
      <c r="J1184" s="288"/>
      <c r="K1184" s="43">
        <f t="shared" si="367"/>
        <v>0</v>
      </c>
      <c r="L1184" s="43">
        <f t="shared" si="368"/>
        <v>0</v>
      </c>
      <c r="M1184" s="217">
        <f t="shared" si="378"/>
        <v>0</v>
      </c>
      <c r="N1184" s="171"/>
      <c r="P1184" s="171"/>
      <c r="Q1184" s="245"/>
      <c r="R1184" s="288">
        <v>30</v>
      </c>
      <c r="S1184" s="288"/>
      <c r="T1184" s="217"/>
      <c r="U1184" s="288">
        <v>30</v>
      </c>
      <c r="V1184" s="288">
        <v>0</v>
      </c>
      <c r="W1184" s="203"/>
      <c r="X1184" s="203"/>
    </row>
    <row r="1185" spans="1:24" ht="15" hidden="1" x14ac:dyDescent="0.2">
      <c r="A1185" s="124" t="s">
        <v>1554</v>
      </c>
      <c r="B1185" s="243" t="s">
        <v>180</v>
      </c>
      <c r="C1185" s="353" t="s">
        <v>8</v>
      </c>
      <c r="D1185" s="353" t="s">
        <v>613</v>
      </c>
      <c r="E1185" s="369">
        <v>8200582460</v>
      </c>
      <c r="F1185" s="369">
        <v>350</v>
      </c>
      <c r="G1185" s="288">
        <v>0</v>
      </c>
      <c r="H1185" s="288"/>
      <c r="I1185" s="288">
        <v>0</v>
      </c>
      <c r="J1185" s="288"/>
      <c r="K1185" s="43">
        <f>I1185-G1185</f>
        <v>0</v>
      </c>
      <c r="L1185" s="43">
        <f>J1185-H1185</f>
        <v>0</v>
      </c>
      <c r="M1185" s="217"/>
      <c r="N1185" s="171"/>
      <c r="P1185" s="171"/>
      <c r="Q1185" s="245"/>
      <c r="R1185" s="288"/>
      <c r="S1185" s="288"/>
      <c r="T1185" s="217"/>
      <c r="U1185" s="288"/>
      <c r="V1185" s="288"/>
      <c r="W1185" s="203"/>
      <c r="X1185" s="203"/>
    </row>
    <row r="1186" spans="1:24" ht="15" x14ac:dyDescent="0.2">
      <c r="A1186" s="746" t="s">
        <v>364</v>
      </c>
      <c r="B1186" s="306" t="s">
        <v>180</v>
      </c>
      <c r="C1186" s="354" t="s">
        <v>8</v>
      </c>
      <c r="D1186" s="354" t="s">
        <v>613</v>
      </c>
      <c r="E1186" s="450" t="s">
        <v>739</v>
      </c>
      <c r="F1186" s="450"/>
      <c r="G1186" s="591">
        <f t="shared" ref="G1186:J1187" si="380">G1187</f>
        <v>20</v>
      </c>
      <c r="H1186" s="591">
        <f t="shared" si="380"/>
        <v>0</v>
      </c>
      <c r="I1186" s="591">
        <f t="shared" si="380"/>
        <v>20</v>
      </c>
      <c r="J1186" s="591">
        <f t="shared" si="380"/>
        <v>0</v>
      </c>
      <c r="K1186" s="591">
        <f t="shared" si="367"/>
        <v>0</v>
      </c>
      <c r="L1186" s="591">
        <f t="shared" si="368"/>
        <v>0</v>
      </c>
      <c r="M1186" s="217">
        <f t="shared" si="378"/>
        <v>0</v>
      </c>
      <c r="N1186" s="171"/>
      <c r="P1186" s="170">
        <f>P1187</f>
        <v>20</v>
      </c>
      <c r="Q1186" s="565"/>
      <c r="R1186" s="591">
        <f>R1187</f>
        <v>20</v>
      </c>
      <c r="S1186" s="591">
        <f>S1187</f>
        <v>0</v>
      </c>
      <c r="T1186" s="217">
        <f t="shared" si="373"/>
        <v>0</v>
      </c>
      <c r="U1186" s="498">
        <f>U1187</f>
        <v>20</v>
      </c>
      <c r="V1186" s="498">
        <f>V1187</f>
        <v>0</v>
      </c>
      <c r="W1186" s="203">
        <f t="shared" si="374"/>
        <v>0</v>
      </c>
      <c r="X1186" s="203">
        <f t="shared" si="375"/>
        <v>0</v>
      </c>
    </row>
    <row r="1187" spans="1:24" ht="15" x14ac:dyDescent="0.2">
      <c r="A1187" s="746" t="s">
        <v>734</v>
      </c>
      <c r="B1187" s="306" t="s">
        <v>180</v>
      </c>
      <c r="C1187" s="354" t="s">
        <v>8</v>
      </c>
      <c r="D1187" s="354" t="s">
        <v>613</v>
      </c>
      <c r="E1187" s="450" t="s">
        <v>741</v>
      </c>
      <c r="F1187" s="450"/>
      <c r="G1187" s="591">
        <f t="shared" si="380"/>
        <v>20</v>
      </c>
      <c r="H1187" s="591">
        <f t="shared" si="380"/>
        <v>0</v>
      </c>
      <c r="I1187" s="591">
        <f t="shared" si="380"/>
        <v>20</v>
      </c>
      <c r="J1187" s="591">
        <f t="shared" si="380"/>
        <v>0</v>
      </c>
      <c r="K1187" s="591">
        <f t="shared" si="367"/>
        <v>0</v>
      </c>
      <c r="L1187" s="591">
        <f t="shared" si="368"/>
        <v>0</v>
      </c>
      <c r="M1187" s="217">
        <f t="shared" si="378"/>
        <v>0</v>
      </c>
      <c r="N1187" s="171"/>
      <c r="P1187" s="170">
        <f>P1188</f>
        <v>20</v>
      </c>
      <c r="Q1187" s="565"/>
      <c r="R1187" s="591">
        <f>R1188</f>
        <v>20</v>
      </c>
      <c r="S1187" s="591">
        <f>S1188</f>
        <v>0</v>
      </c>
      <c r="T1187" s="217">
        <f t="shared" si="373"/>
        <v>0</v>
      </c>
      <c r="U1187" s="498">
        <f>U1188</f>
        <v>20</v>
      </c>
      <c r="V1187" s="498">
        <f>V1188</f>
        <v>0</v>
      </c>
      <c r="W1187" s="203">
        <f t="shared" si="374"/>
        <v>0</v>
      </c>
      <c r="X1187" s="203">
        <f t="shared" si="375"/>
        <v>0</v>
      </c>
    </row>
    <row r="1188" spans="1:24" ht="15" x14ac:dyDescent="0.2">
      <c r="A1188" s="739" t="s">
        <v>834</v>
      </c>
      <c r="B1188" s="243" t="s">
        <v>180</v>
      </c>
      <c r="C1188" s="353" t="s">
        <v>8</v>
      </c>
      <c r="D1188" s="353" t="s">
        <v>613</v>
      </c>
      <c r="E1188" s="369" t="s">
        <v>741</v>
      </c>
      <c r="F1188" s="369" t="s">
        <v>634</v>
      </c>
      <c r="G1188" s="288">
        <v>20</v>
      </c>
      <c r="H1188" s="288"/>
      <c r="I1188" s="288">
        <v>20</v>
      </c>
      <c r="J1188" s="288"/>
      <c r="K1188" s="43">
        <f t="shared" si="367"/>
        <v>0</v>
      </c>
      <c r="L1188" s="43">
        <f t="shared" si="368"/>
        <v>0</v>
      </c>
      <c r="M1188" s="217">
        <f t="shared" si="378"/>
        <v>0</v>
      </c>
      <c r="N1188" s="171"/>
      <c r="P1188" s="171">
        <v>20</v>
      </c>
      <c r="Q1188" s="245"/>
      <c r="R1188" s="288">
        <v>20</v>
      </c>
      <c r="S1188" s="288"/>
      <c r="T1188" s="217">
        <f t="shared" si="373"/>
        <v>0</v>
      </c>
      <c r="U1188" s="288">
        <v>20</v>
      </c>
      <c r="V1188" s="288">
        <v>0</v>
      </c>
      <c r="W1188" s="203">
        <f t="shared" si="374"/>
        <v>0</v>
      </c>
      <c r="X1188" s="203">
        <f t="shared" si="375"/>
        <v>0</v>
      </c>
    </row>
    <row r="1189" spans="1:24" ht="15" x14ac:dyDescent="0.2">
      <c r="A1189" s="746" t="s">
        <v>733</v>
      </c>
      <c r="B1189" s="306" t="s">
        <v>180</v>
      </c>
      <c r="C1189" s="354" t="s">
        <v>8</v>
      </c>
      <c r="D1189" s="354" t="s">
        <v>613</v>
      </c>
      <c r="E1189" s="450" t="s">
        <v>730</v>
      </c>
      <c r="F1189" s="450"/>
      <c r="G1189" s="591">
        <f t="shared" ref="G1189:J1190" si="381">G1190</f>
        <v>40</v>
      </c>
      <c r="H1189" s="591">
        <f t="shared" si="381"/>
        <v>0</v>
      </c>
      <c r="I1189" s="591">
        <f t="shared" si="381"/>
        <v>40</v>
      </c>
      <c r="J1189" s="591">
        <f t="shared" si="381"/>
        <v>0</v>
      </c>
      <c r="K1189" s="591">
        <f t="shared" si="367"/>
        <v>0</v>
      </c>
      <c r="L1189" s="591">
        <f t="shared" si="368"/>
        <v>0</v>
      </c>
      <c r="M1189" s="217">
        <f t="shared" si="378"/>
        <v>0</v>
      </c>
      <c r="N1189" s="171"/>
      <c r="P1189" s="170">
        <f>P1190</f>
        <v>30</v>
      </c>
      <c r="Q1189" s="565"/>
      <c r="R1189" s="591">
        <f>R1190</f>
        <v>30</v>
      </c>
      <c r="S1189" s="591">
        <f>S1190</f>
        <v>0</v>
      </c>
      <c r="T1189" s="217">
        <f t="shared" si="373"/>
        <v>0</v>
      </c>
      <c r="U1189" s="498">
        <f>U1190</f>
        <v>30</v>
      </c>
      <c r="V1189" s="498">
        <f>V1190</f>
        <v>0</v>
      </c>
      <c r="W1189" s="203">
        <f t="shared" si="374"/>
        <v>0</v>
      </c>
      <c r="X1189" s="203">
        <f t="shared" si="375"/>
        <v>0</v>
      </c>
    </row>
    <row r="1190" spans="1:24" ht="15" x14ac:dyDescent="0.2">
      <c r="A1190" s="746" t="s">
        <v>734</v>
      </c>
      <c r="B1190" s="306" t="s">
        <v>180</v>
      </c>
      <c r="C1190" s="354" t="s">
        <v>8</v>
      </c>
      <c r="D1190" s="354" t="s">
        <v>613</v>
      </c>
      <c r="E1190" s="450" t="s">
        <v>731</v>
      </c>
      <c r="F1190" s="450"/>
      <c r="G1190" s="591">
        <f t="shared" si="381"/>
        <v>40</v>
      </c>
      <c r="H1190" s="591">
        <f t="shared" si="381"/>
        <v>0</v>
      </c>
      <c r="I1190" s="591">
        <f t="shared" si="381"/>
        <v>40</v>
      </c>
      <c r="J1190" s="591">
        <f t="shared" si="381"/>
        <v>0</v>
      </c>
      <c r="K1190" s="591">
        <f t="shared" si="367"/>
        <v>0</v>
      </c>
      <c r="L1190" s="591">
        <f t="shared" si="368"/>
        <v>0</v>
      </c>
      <c r="M1190" s="217">
        <f t="shared" si="378"/>
        <v>0</v>
      </c>
      <c r="N1190" s="171"/>
      <c r="P1190" s="170">
        <f>P1191</f>
        <v>30</v>
      </c>
      <c r="Q1190" s="565"/>
      <c r="R1190" s="591">
        <f>R1191</f>
        <v>30</v>
      </c>
      <c r="S1190" s="591">
        <f>S1191</f>
        <v>0</v>
      </c>
      <c r="T1190" s="217">
        <f t="shared" si="373"/>
        <v>0</v>
      </c>
      <c r="U1190" s="498">
        <f>U1191</f>
        <v>30</v>
      </c>
      <c r="V1190" s="498">
        <f>V1191</f>
        <v>0</v>
      </c>
      <c r="W1190" s="203">
        <f t="shared" si="374"/>
        <v>0</v>
      </c>
      <c r="X1190" s="203">
        <f t="shared" si="375"/>
        <v>0</v>
      </c>
    </row>
    <row r="1191" spans="1:24" ht="15" x14ac:dyDescent="0.2">
      <c r="A1191" s="739" t="s">
        <v>834</v>
      </c>
      <c r="B1191" s="243" t="s">
        <v>180</v>
      </c>
      <c r="C1191" s="353" t="s">
        <v>8</v>
      </c>
      <c r="D1191" s="353" t="s">
        <v>613</v>
      </c>
      <c r="E1191" s="369" t="s">
        <v>731</v>
      </c>
      <c r="F1191" s="369" t="s">
        <v>634</v>
      </c>
      <c r="G1191" s="288">
        <v>40</v>
      </c>
      <c r="H1191" s="288"/>
      <c r="I1191" s="288">
        <v>40</v>
      </c>
      <c r="J1191" s="288"/>
      <c r="K1191" s="43">
        <f t="shared" si="367"/>
        <v>0</v>
      </c>
      <c r="L1191" s="43">
        <f t="shared" si="368"/>
        <v>0</v>
      </c>
      <c r="M1191" s="217">
        <f t="shared" si="378"/>
        <v>0</v>
      </c>
      <c r="N1191" s="171"/>
      <c r="P1191" s="171">
        <v>30</v>
      </c>
      <c r="Q1191" s="245"/>
      <c r="R1191" s="288">
        <v>30</v>
      </c>
      <c r="S1191" s="288"/>
      <c r="T1191" s="217">
        <f t="shared" si="373"/>
        <v>0</v>
      </c>
      <c r="U1191" s="288">
        <v>30</v>
      </c>
      <c r="V1191" s="288">
        <v>0</v>
      </c>
      <c r="W1191" s="203">
        <f t="shared" si="374"/>
        <v>0</v>
      </c>
      <c r="X1191" s="203">
        <f t="shared" si="375"/>
        <v>0</v>
      </c>
    </row>
    <row r="1192" spans="1:24" ht="27.75" hidden="1" customHeight="1" x14ac:dyDescent="0.2">
      <c r="A1192" s="121" t="s">
        <v>1205</v>
      </c>
      <c r="B1192" s="306" t="s">
        <v>180</v>
      </c>
      <c r="C1192" s="354" t="s">
        <v>8</v>
      </c>
      <c r="D1192" s="354" t="s">
        <v>613</v>
      </c>
      <c r="E1192" s="377">
        <v>8900000000</v>
      </c>
      <c r="F1192" s="450"/>
      <c r="G1192" s="498">
        <f t="shared" ref="G1192:J1194" si="382">G1193</f>
        <v>0</v>
      </c>
      <c r="H1192" s="498">
        <f t="shared" si="382"/>
        <v>0</v>
      </c>
      <c r="I1192" s="591">
        <f t="shared" si="382"/>
        <v>0</v>
      </c>
      <c r="J1192" s="591">
        <f t="shared" si="382"/>
        <v>0</v>
      </c>
      <c r="K1192" s="591">
        <f t="shared" si="367"/>
        <v>0</v>
      </c>
      <c r="L1192" s="591">
        <f t="shared" si="368"/>
        <v>0</v>
      </c>
      <c r="M1192" s="217">
        <f t="shared" si="378"/>
        <v>0</v>
      </c>
      <c r="N1192" s="171"/>
      <c r="P1192" s="245"/>
      <c r="Q1192" s="245"/>
      <c r="R1192" s="591">
        <f t="shared" ref="R1192:S1194" si="383">R1193</f>
        <v>0</v>
      </c>
      <c r="S1192" s="591">
        <f t="shared" si="383"/>
        <v>0</v>
      </c>
      <c r="T1192" s="217"/>
      <c r="U1192" s="498">
        <f t="shared" ref="U1192:V1194" si="384">U1193</f>
        <v>28158.35</v>
      </c>
      <c r="V1192" s="498">
        <f t="shared" si="384"/>
        <v>26945.510130000002</v>
      </c>
      <c r="W1192" s="203"/>
      <c r="X1192" s="203"/>
    </row>
    <row r="1193" spans="1:24" ht="18.75" hidden="1" customHeight="1" x14ac:dyDescent="0.2">
      <c r="A1193" s="121" t="s">
        <v>1284</v>
      </c>
      <c r="B1193" s="306" t="s">
        <v>180</v>
      </c>
      <c r="C1193" s="354" t="s">
        <v>8</v>
      </c>
      <c r="D1193" s="354" t="s">
        <v>613</v>
      </c>
      <c r="E1193" s="377">
        <v>8900500000</v>
      </c>
      <c r="F1193" s="450"/>
      <c r="G1193" s="498">
        <f t="shared" si="382"/>
        <v>0</v>
      </c>
      <c r="H1193" s="498">
        <f t="shared" si="382"/>
        <v>0</v>
      </c>
      <c r="I1193" s="591">
        <f t="shared" si="382"/>
        <v>0</v>
      </c>
      <c r="J1193" s="591">
        <f t="shared" si="382"/>
        <v>0</v>
      </c>
      <c r="K1193" s="591">
        <f t="shared" si="367"/>
        <v>0</v>
      </c>
      <c r="L1193" s="591">
        <f t="shared" si="368"/>
        <v>0</v>
      </c>
      <c r="M1193" s="217">
        <f t="shared" si="378"/>
        <v>0</v>
      </c>
      <c r="N1193" s="171"/>
      <c r="P1193" s="245"/>
      <c r="Q1193" s="245"/>
      <c r="R1193" s="591">
        <f t="shared" si="383"/>
        <v>0</v>
      </c>
      <c r="S1193" s="591">
        <f t="shared" si="383"/>
        <v>0</v>
      </c>
      <c r="T1193" s="217"/>
      <c r="U1193" s="498">
        <f t="shared" si="384"/>
        <v>28158.35</v>
      </c>
      <c r="V1193" s="498">
        <f t="shared" si="384"/>
        <v>26945.510130000002</v>
      </c>
      <c r="W1193" s="203"/>
      <c r="X1193" s="203"/>
    </row>
    <row r="1194" spans="1:24" ht="18.75" hidden="1" customHeight="1" x14ac:dyDescent="0.2">
      <c r="A1194" s="121" t="s">
        <v>1285</v>
      </c>
      <c r="B1194" s="306" t="s">
        <v>180</v>
      </c>
      <c r="C1194" s="354" t="s">
        <v>8</v>
      </c>
      <c r="D1194" s="354" t="s">
        <v>613</v>
      </c>
      <c r="E1194" s="377" t="s">
        <v>1286</v>
      </c>
      <c r="F1194" s="450"/>
      <c r="G1194" s="498">
        <f t="shared" si="382"/>
        <v>0</v>
      </c>
      <c r="H1194" s="498">
        <f t="shared" si="382"/>
        <v>0</v>
      </c>
      <c r="I1194" s="591">
        <f t="shared" si="382"/>
        <v>0</v>
      </c>
      <c r="J1194" s="591">
        <f t="shared" si="382"/>
        <v>0</v>
      </c>
      <c r="K1194" s="591">
        <f t="shared" si="367"/>
        <v>0</v>
      </c>
      <c r="L1194" s="591">
        <f t="shared" si="368"/>
        <v>0</v>
      </c>
      <c r="M1194" s="217">
        <f t="shared" si="378"/>
        <v>0</v>
      </c>
      <c r="N1194" s="171"/>
      <c r="P1194" s="245"/>
      <c r="Q1194" s="245"/>
      <c r="R1194" s="591">
        <f t="shared" si="383"/>
        <v>0</v>
      </c>
      <c r="S1194" s="591">
        <f t="shared" si="383"/>
        <v>0</v>
      </c>
      <c r="T1194" s="217"/>
      <c r="U1194" s="498">
        <f t="shared" si="384"/>
        <v>28158.35</v>
      </c>
      <c r="V1194" s="498">
        <f t="shared" si="384"/>
        <v>26945.510130000002</v>
      </c>
      <c r="W1194" s="203"/>
      <c r="X1194" s="203"/>
    </row>
    <row r="1195" spans="1:24" ht="18.75" hidden="1" customHeight="1" x14ac:dyDescent="0.2">
      <c r="A1195" s="124" t="s">
        <v>126</v>
      </c>
      <c r="B1195" s="243" t="s">
        <v>180</v>
      </c>
      <c r="C1195" s="353" t="s">
        <v>8</v>
      </c>
      <c r="D1195" s="353" t="s">
        <v>613</v>
      </c>
      <c r="E1195" s="378" t="s">
        <v>1286</v>
      </c>
      <c r="F1195" s="369">
        <v>622</v>
      </c>
      <c r="G1195" s="288"/>
      <c r="H1195" s="266"/>
      <c r="I1195" s="288"/>
      <c r="J1195" s="266"/>
      <c r="K1195" s="43">
        <f t="shared" si="367"/>
        <v>0</v>
      </c>
      <c r="L1195" s="43">
        <f t="shared" si="368"/>
        <v>0</v>
      </c>
      <c r="M1195" s="217">
        <f t="shared" si="378"/>
        <v>0</v>
      </c>
      <c r="N1195" s="171"/>
      <c r="P1195" s="447">
        <f>I1195-277.7315</f>
        <v>-277.73149999999998</v>
      </c>
      <c r="Q1195" s="447"/>
      <c r="R1195" s="288"/>
      <c r="S1195" s="266"/>
      <c r="T1195" s="217"/>
      <c r="U1195" s="288">
        <v>28158.35</v>
      </c>
      <c r="V1195" s="266">
        <f>15716.85192+2173.29651+2173.29651+2173.29651+2173.29651+2535.47217</f>
        <v>26945.510130000002</v>
      </c>
      <c r="W1195" s="203"/>
      <c r="X1195" s="203"/>
    </row>
    <row r="1196" spans="1:24" ht="15" x14ac:dyDescent="0.2">
      <c r="A1196" s="746" t="s">
        <v>65</v>
      </c>
      <c r="B1196" s="306" t="s">
        <v>180</v>
      </c>
      <c r="C1196" s="354" t="s">
        <v>8</v>
      </c>
      <c r="D1196" s="354" t="s">
        <v>613</v>
      </c>
      <c r="E1196" s="450" t="s">
        <v>312</v>
      </c>
      <c r="F1196" s="450"/>
      <c r="G1196" s="591">
        <f>G1203+G1205+G1216+G1208+G1210+G1212+G1218+G1214+G1197</f>
        <v>1680</v>
      </c>
      <c r="H1196" s="591">
        <f t="shared" ref="H1196:L1196" si="385">H1203+H1205+H1216+H1208+H1210+H1212+H1218+H1214+H1197</f>
        <v>0</v>
      </c>
      <c r="I1196" s="591">
        <f t="shared" si="385"/>
        <v>2251.3550400000004</v>
      </c>
      <c r="J1196" s="591">
        <f t="shared" si="385"/>
        <v>78</v>
      </c>
      <c r="K1196" s="591">
        <f t="shared" si="385"/>
        <v>571.35504000000014</v>
      </c>
      <c r="L1196" s="591">
        <f t="shared" si="385"/>
        <v>78</v>
      </c>
      <c r="M1196" s="217">
        <f t="shared" si="378"/>
        <v>0</v>
      </c>
      <c r="N1196" s="170" t="e">
        <f>N1203+#REF!+N1216</f>
        <v>#REF!</v>
      </c>
      <c r="R1196" s="591">
        <f>R1203+R1205+R1216+R1208+R1210+R1212+R1218+R1214</f>
        <v>3007.5554400000001</v>
      </c>
      <c r="S1196" s="591">
        <f>S1203+S1205+S1216+S1208+S1210+S1212+S1218+S1214</f>
        <v>0</v>
      </c>
      <c r="T1196" s="217">
        <f t="shared" si="373"/>
        <v>571.35504000000037</v>
      </c>
      <c r="U1196" s="498" t="e">
        <f>U1203+#REF!+U1216+U1208+U1210+U1212+U1218+U1214</f>
        <v>#REF!</v>
      </c>
      <c r="V1196" s="498" t="e">
        <f>V1203+#REF!+V1216+V1208+V1210+V1212+V1218+V1214</f>
        <v>#REF!</v>
      </c>
      <c r="W1196" s="203">
        <f t="shared" si="374"/>
        <v>-571.35504000000037</v>
      </c>
      <c r="X1196" s="203">
        <f t="shared" si="375"/>
        <v>0</v>
      </c>
    </row>
    <row r="1197" spans="1:24" ht="15" x14ac:dyDescent="0.2">
      <c r="A1197" s="746" t="s">
        <v>2002</v>
      </c>
      <c r="B1197" s="306" t="s">
        <v>180</v>
      </c>
      <c r="C1197" s="354" t="s">
        <v>8</v>
      </c>
      <c r="D1197" s="354" t="s">
        <v>613</v>
      </c>
      <c r="E1197" s="697">
        <v>9990055493</v>
      </c>
      <c r="F1197" s="697"/>
      <c r="G1197" s="591">
        <f>SUM(G1198:G1202)</f>
        <v>0</v>
      </c>
      <c r="H1197" s="591">
        <f t="shared" ref="H1197:L1197" si="386">SUM(H1198:H1202)</f>
        <v>0</v>
      </c>
      <c r="I1197" s="591">
        <f t="shared" si="386"/>
        <v>78</v>
      </c>
      <c r="J1197" s="591">
        <f t="shared" si="386"/>
        <v>78</v>
      </c>
      <c r="K1197" s="591">
        <f t="shared" si="386"/>
        <v>78</v>
      </c>
      <c r="L1197" s="591">
        <f t="shared" si="386"/>
        <v>78</v>
      </c>
      <c r="M1197" s="217"/>
      <c r="N1197" s="170"/>
      <c r="R1197" s="591"/>
      <c r="S1197" s="591"/>
      <c r="T1197" s="217"/>
      <c r="U1197" s="591"/>
      <c r="V1197" s="591"/>
      <c r="W1197" s="203"/>
      <c r="X1197" s="203"/>
    </row>
    <row r="1198" spans="1:24" ht="15" x14ac:dyDescent="0.2">
      <c r="A1198" s="739" t="s">
        <v>2006</v>
      </c>
      <c r="B1198" s="243" t="s">
        <v>180</v>
      </c>
      <c r="C1198" s="353" t="s">
        <v>8</v>
      </c>
      <c r="D1198" s="353" t="s">
        <v>613</v>
      </c>
      <c r="E1198" s="369">
        <v>9990055493</v>
      </c>
      <c r="F1198" s="369">
        <v>111</v>
      </c>
      <c r="G1198" s="288"/>
      <c r="H1198" s="288"/>
      <c r="I1198" s="288">
        <v>9.2165900000000001</v>
      </c>
      <c r="J1198" s="288">
        <v>9.2165900000000001</v>
      </c>
      <c r="K1198" s="43">
        <f t="shared" ref="K1198" si="387">I1198-G1198</f>
        <v>9.2165900000000001</v>
      </c>
      <c r="L1198" s="43">
        <f t="shared" ref="L1198" si="388">J1198-H1198</f>
        <v>9.2165900000000001</v>
      </c>
      <c r="M1198" s="217"/>
      <c r="N1198" s="170"/>
      <c r="R1198" s="591"/>
      <c r="S1198" s="591"/>
      <c r="T1198" s="217"/>
      <c r="U1198" s="591"/>
      <c r="V1198" s="591"/>
      <c r="W1198" s="203"/>
      <c r="X1198" s="203"/>
    </row>
    <row r="1199" spans="1:24" ht="25.5" x14ac:dyDescent="0.2">
      <c r="A1199" s="739" t="s">
        <v>2007</v>
      </c>
      <c r="B1199" s="243" t="s">
        <v>180</v>
      </c>
      <c r="C1199" s="353" t="s">
        <v>8</v>
      </c>
      <c r="D1199" s="353" t="s">
        <v>613</v>
      </c>
      <c r="E1199" s="369">
        <v>9990055493</v>
      </c>
      <c r="F1199" s="369">
        <v>119</v>
      </c>
      <c r="G1199" s="288"/>
      <c r="H1199" s="288"/>
      <c r="I1199" s="288">
        <v>2.7834099999999999</v>
      </c>
      <c r="J1199" s="288">
        <v>2.7834099999999999</v>
      </c>
      <c r="K1199" s="43">
        <f t="shared" ref="K1199" si="389">I1199-G1199</f>
        <v>2.7834099999999999</v>
      </c>
      <c r="L1199" s="43">
        <f t="shared" ref="L1199" si="390">J1199-H1199</f>
        <v>2.7834099999999999</v>
      </c>
      <c r="M1199" s="217"/>
      <c r="N1199" s="170"/>
      <c r="R1199" s="591"/>
      <c r="S1199" s="591"/>
      <c r="T1199" s="217"/>
      <c r="U1199" s="591"/>
      <c r="V1199" s="591"/>
      <c r="W1199" s="203"/>
      <c r="X1199" s="203"/>
    </row>
    <row r="1200" spans="1:24" ht="15" x14ac:dyDescent="0.2">
      <c r="A1200" s="739" t="s">
        <v>1576</v>
      </c>
      <c r="B1200" s="243" t="s">
        <v>180</v>
      </c>
      <c r="C1200" s="353" t="s">
        <v>8</v>
      </c>
      <c r="D1200" s="353" t="s">
        <v>613</v>
      </c>
      <c r="E1200" s="369">
        <v>9990055493</v>
      </c>
      <c r="F1200" s="369">
        <v>121</v>
      </c>
      <c r="G1200" s="288"/>
      <c r="H1200" s="288"/>
      <c r="I1200" s="288">
        <v>39.17051</v>
      </c>
      <c r="J1200" s="288">
        <v>39.17051</v>
      </c>
      <c r="K1200" s="43">
        <f t="shared" ref="K1200:K1202" si="391">I1200-G1200</f>
        <v>39.17051</v>
      </c>
      <c r="L1200" s="43">
        <f t="shared" ref="L1200:L1202" si="392">J1200-H1200</f>
        <v>39.17051</v>
      </c>
      <c r="M1200" s="217"/>
      <c r="N1200" s="170"/>
      <c r="R1200" s="591"/>
      <c r="S1200" s="591"/>
      <c r="T1200" s="217"/>
      <c r="U1200" s="591"/>
      <c r="V1200" s="591"/>
      <c r="W1200" s="203"/>
      <c r="X1200" s="203"/>
    </row>
    <row r="1201" spans="1:24" ht="25.5" x14ac:dyDescent="0.2">
      <c r="A1201" s="739" t="s">
        <v>1578</v>
      </c>
      <c r="B1201" s="243" t="s">
        <v>180</v>
      </c>
      <c r="C1201" s="353" t="s">
        <v>8</v>
      </c>
      <c r="D1201" s="353" t="s">
        <v>613</v>
      </c>
      <c r="E1201" s="369">
        <v>9990055493</v>
      </c>
      <c r="F1201" s="369">
        <v>129</v>
      </c>
      <c r="G1201" s="288"/>
      <c r="H1201" s="288"/>
      <c r="I1201" s="288">
        <v>11.82949</v>
      </c>
      <c r="J1201" s="288">
        <v>11.82949</v>
      </c>
      <c r="K1201" s="43">
        <f t="shared" si="391"/>
        <v>11.82949</v>
      </c>
      <c r="L1201" s="43">
        <f t="shared" si="392"/>
        <v>11.82949</v>
      </c>
      <c r="M1201" s="217"/>
      <c r="N1201" s="170"/>
      <c r="R1201" s="591"/>
      <c r="S1201" s="591"/>
      <c r="T1201" s="217"/>
      <c r="U1201" s="591"/>
      <c r="V1201" s="591"/>
      <c r="W1201" s="203"/>
      <c r="X1201" s="203"/>
    </row>
    <row r="1202" spans="1:24" ht="25.5" x14ac:dyDescent="0.2">
      <c r="A1202" s="739" t="s">
        <v>1583</v>
      </c>
      <c r="B1202" s="243" t="s">
        <v>180</v>
      </c>
      <c r="C1202" s="353" t="s">
        <v>8</v>
      </c>
      <c r="D1202" s="353" t="s">
        <v>613</v>
      </c>
      <c r="E1202" s="369">
        <v>9990055493</v>
      </c>
      <c r="F1202" s="369">
        <v>621</v>
      </c>
      <c r="G1202" s="288"/>
      <c r="H1202" s="288"/>
      <c r="I1202" s="288">
        <v>15</v>
      </c>
      <c r="J1202" s="288">
        <v>15</v>
      </c>
      <c r="K1202" s="43">
        <f t="shared" si="391"/>
        <v>15</v>
      </c>
      <c r="L1202" s="43">
        <f t="shared" si="392"/>
        <v>15</v>
      </c>
      <c r="M1202" s="217"/>
      <c r="N1202" s="170"/>
      <c r="R1202" s="591"/>
      <c r="S1202" s="591"/>
      <c r="T1202" s="217"/>
      <c r="U1202" s="591"/>
      <c r="V1202" s="591"/>
      <c r="W1202" s="203"/>
      <c r="X1202" s="203"/>
    </row>
    <row r="1203" spans="1:24" ht="15" hidden="1" x14ac:dyDescent="0.2">
      <c r="A1203" s="451" t="s">
        <v>811</v>
      </c>
      <c r="B1203" s="306" t="s">
        <v>180</v>
      </c>
      <c r="C1203" s="354" t="s">
        <v>8</v>
      </c>
      <c r="D1203" s="354" t="s">
        <v>613</v>
      </c>
      <c r="E1203" s="450">
        <v>9990012290</v>
      </c>
      <c r="F1203" s="450"/>
      <c r="G1203" s="498">
        <f>G1204</f>
        <v>200</v>
      </c>
      <c r="H1203" s="498">
        <f>H1204</f>
        <v>0</v>
      </c>
      <c r="I1203" s="714">
        <f>I1204</f>
        <v>0</v>
      </c>
      <c r="J1203" s="591">
        <f>J1204</f>
        <v>0</v>
      </c>
      <c r="K1203" s="591">
        <f t="shared" si="367"/>
        <v>-200</v>
      </c>
      <c r="L1203" s="591">
        <f t="shared" si="368"/>
        <v>0</v>
      </c>
      <c r="M1203" s="217">
        <f t="shared" si="378"/>
        <v>0</v>
      </c>
      <c r="N1203" s="170">
        <f>N1204</f>
        <v>799.86</v>
      </c>
      <c r="R1203" s="591">
        <f>R1204</f>
        <v>0</v>
      </c>
      <c r="S1203" s="591">
        <f>S1204</f>
        <v>0</v>
      </c>
      <c r="T1203" s="217">
        <f t="shared" si="373"/>
        <v>-200</v>
      </c>
      <c r="U1203" s="498">
        <f>U1204</f>
        <v>30</v>
      </c>
      <c r="V1203" s="498">
        <f>V1204</f>
        <v>0</v>
      </c>
      <c r="W1203" s="203">
        <f t="shared" si="374"/>
        <v>200</v>
      </c>
      <c r="X1203" s="203">
        <f t="shared" si="375"/>
        <v>0</v>
      </c>
    </row>
    <row r="1204" spans="1:24" ht="15" hidden="1" x14ac:dyDescent="0.2">
      <c r="A1204" s="124" t="s">
        <v>834</v>
      </c>
      <c r="B1204" s="243" t="s">
        <v>180</v>
      </c>
      <c r="C1204" s="353" t="s">
        <v>8</v>
      </c>
      <c r="D1204" s="353" t="s">
        <v>613</v>
      </c>
      <c r="E1204" s="369" t="s">
        <v>810</v>
      </c>
      <c r="F1204" s="369" t="s">
        <v>634</v>
      </c>
      <c r="G1204" s="288">
        <v>200</v>
      </c>
      <c r="H1204" s="288"/>
      <c r="I1204" s="713">
        <v>0</v>
      </c>
      <c r="J1204" s="288"/>
      <c r="K1204" s="43">
        <f t="shared" si="367"/>
        <v>-200</v>
      </c>
      <c r="L1204" s="43">
        <f t="shared" si="368"/>
        <v>0</v>
      </c>
      <c r="M1204" s="217">
        <f t="shared" si="378"/>
        <v>0</v>
      </c>
      <c r="N1204" s="171">
        <v>799.86</v>
      </c>
      <c r="R1204" s="288">
        <v>0</v>
      </c>
      <c r="S1204" s="288"/>
      <c r="T1204" s="217">
        <f t="shared" si="373"/>
        <v>-200</v>
      </c>
      <c r="U1204" s="288">
        <v>30</v>
      </c>
      <c r="V1204" s="288">
        <v>0</v>
      </c>
      <c r="W1204" s="203">
        <f t="shared" si="374"/>
        <v>200</v>
      </c>
      <c r="X1204" s="203">
        <f t="shared" si="375"/>
        <v>0</v>
      </c>
    </row>
    <row r="1205" spans="1:24" ht="15" x14ac:dyDescent="0.2">
      <c r="A1205" s="746" t="s">
        <v>49</v>
      </c>
      <c r="B1205" s="306" t="s">
        <v>180</v>
      </c>
      <c r="C1205" s="354" t="s">
        <v>8</v>
      </c>
      <c r="D1205" s="354" t="s">
        <v>613</v>
      </c>
      <c r="E1205" s="450">
        <v>9990082900</v>
      </c>
      <c r="F1205" s="450"/>
      <c r="G1205" s="591">
        <f>G1207+G1206</f>
        <v>1480</v>
      </c>
      <c r="H1205" s="591">
        <f t="shared" ref="H1205:L1205" si="393">H1207+H1206</f>
        <v>0</v>
      </c>
      <c r="I1205" s="591">
        <f t="shared" si="393"/>
        <v>2173.3550400000004</v>
      </c>
      <c r="J1205" s="591">
        <f t="shared" si="393"/>
        <v>0</v>
      </c>
      <c r="K1205" s="591">
        <f t="shared" si="393"/>
        <v>693.35504000000014</v>
      </c>
      <c r="L1205" s="591">
        <f t="shared" si="393"/>
        <v>0</v>
      </c>
      <c r="M1205" s="217"/>
      <c r="N1205" s="171"/>
      <c r="R1205" s="591">
        <f>R1207</f>
        <v>1546.7396000000001</v>
      </c>
      <c r="S1205" s="591">
        <f>S1207</f>
        <v>0</v>
      </c>
      <c r="T1205" s="217"/>
      <c r="U1205" s="288"/>
      <c r="V1205" s="288"/>
      <c r="W1205" s="203"/>
      <c r="X1205" s="203"/>
    </row>
    <row r="1206" spans="1:24" ht="25.5" x14ac:dyDescent="0.2">
      <c r="A1206" s="739" t="s">
        <v>1545</v>
      </c>
      <c r="B1206" s="243" t="s">
        <v>180</v>
      </c>
      <c r="C1206" s="353" t="s">
        <v>8</v>
      </c>
      <c r="D1206" s="353" t="s">
        <v>613</v>
      </c>
      <c r="E1206" s="369">
        <v>9990082900</v>
      </c>
      <c r="F1206" s="369">
        <v>465</v>
      </c>
      <c r="G1206" s="288"/>
      <c r="H1206" s="288"/>
      <c r="I1206" s="288">
        <v>576.50935000000004</v>
      </c>
      <c r="J1206" s="288"/>
      <c r="K1206" s="43">
        <f t="shared" ref="K1206" si="394">I1206-G1206</f>
        <v>576.50935000000004</v>
      </c>
      <c r="L1206" s="43">
        <f t="shared" ref="L1206" si="395">J1206-H1206</f>
        <v>0</v>
      </c>
      <c r="M1206" s="217"/>
      <c r="N1206" s="171"/>
      <c r="R1206" s="591"/>
      <c r="S1206" s="591"/>
      <c r="T1206" s="217"/>
      <c r="U1206" s="288"/>
      <c r="V1206" s="288"/>
      <c r="W1206" s="203"/>
      <c r="X1206" s="203"/>
    </row>
    <row r="1207" spans="1:24" ht="15" x14ac:dyDescent="0.2">
      <c r="A1207" s="739" t="s">
        <v>126</v>
      </c>
      <c r="B1207" s="243" t="s">
        <v>180</v>
      </c>
      <c r="C1207" s="353" t="s">
        <v>8</v>
      </c>
      <c r="D1207" s="353" t="s">
        <v>613</v>
      </c>
      <c r="E1207" s="369">
        <v>9990082900</v>
      </c>
      <c r="F1207" s="369" t="s">
        <v>124</v>
      </c>
      <c r="G1207" s="288">
        <v>1480</v>
      </c>
      <c r="H1207" s="288"/>
      <c r="I1207" s="288">
        <v>1596.8456900000001</v>
      </c>
      <c r="J1207" s="288"/>
      <c r="K1207" s="43">
        <f t="shared" si="367"/>
        <v>116.8456900000001</v>
      </c>
      <c r="L1207" s="43">
        <f t="shared" si="368"/>
        <v>0</v>
      </c>
      <c r="M1207" s="217"/>
      <c r="N1207" s="171"/>
      <c r="R1207" s="288">
        <v>1546.7396000000001</v>
      </c>
      <c r="S1207" s="288"/>
      <c r="T1207" s="217"/>
      <c r="U1207" s="288"/>
      <c r="V1207" s="288"/>
      <c r="W1207" s="203"/>
      <c r="X1207" s="203"/>
    </row>
    <row r="1208" spans="1:24" ht="15" hidden="1" x14ac:dyDescent="0.2">
      <c r="A1208" s="614" t="s">
        <v>1234</v>
      </c>
      <c r="B1208" s="306" t="s">
        <v>180</v>
      </c>
      <c r="C1208" s="354" t="s">
        <v>8</v>
      </c>
      <c r="D1208" s="354" t="s">
        <v>613</v>
      </c>
      <c r="E1208" s="613" t="s">
        <v>1228</v>
      </c>
      <c r="F1208" s="450"/>
      <c r="G1208" s="498">
        <f>G1209</f>
        <v>0</v>
      </c>
      <c r="H1208" s="498">
        <f>H1209</f>
        <v>0</v>
      </c>
      <c r="I1208" s="591">
        <f>I1209</f>
        <v>0</v>
      </c>
      <c r="J1208" s="591">
        <f>J1209</f>
        <v>0</v>
      </c>
      <c r="K1208" s="591">
        <f t="shared" si="367"/>
        <v>0</v>
      </c>
      <c r="L1208" s="591">
        <f t="shared" si="368"/>
        <v>0</v>
      </c>
      <c r="M1208" s="217">
        <f t="shared" si="378"/>
        <v>0</v>
      </c>
      <c r="N1208" s="43"/>
      <c r="R1208" s="591">
        <f>R1209</f>
        <v>941.21519999999998</v>
      </c>
      <c r="S1208" s="591">
        <f>S1209</f>
        <v>0</v>
      </c>
      <c r="T1208" s="217"/>
      <c r="U1208" s="498">
        <f>U1209</f>
        <v>0</v>
      </c>
      <c r="V1208" s="498">
        <f>V1209</f>
        <v>0</v>
      </c>
      <c r="W1208" s="203">
        <f t="shared" si="374"/>
        <v>0</v>
      </c>
      <c r="X1208" s="203">
        <f t="shared" si="375"/>
        <v>0</v>
      </c>
    </row>
    <row r="1209" spans="1:24" ht="15" hidden="1" x14ac:dyDescent="0.2">
      <c r="A1209" s="124" t="s">
        <v>126</v>
      </c>
      <c r="B1209" s="243" t="s">
        <v>180</v>
      </c>
      <c r="C1209" s="353" t="s">
        <v>8</v>
      </c>
      <c r="D1209" s="353" t="s">
        <v>613</v>
      </c>
      <c r="E1209" s="369" t="s">
        <v>1228</v>
      </c>
      <c r="F1209" s="369">
        <v>622</v>
      </c>
      <c r="G1209" s="288"/>
      <c r="H1209" s="288"/>
      <c r="I1209" s="288"/>
      <c r="J1209" s="288"/>
      <c r="K1209" s="43">
        <f t="shared" si="367"/>
        <v>0</v>
      </c>
      <c r="L1209" s="43">
        <f t="shared" si="368"/>
        <v>0</v>
      </c>
      <c r="M1209" s="217">
        <f t="shared" si="378"/>
        <v>0</v>
      </c>
      <c r="N1209" s="43"/>
      <c r="R1209" s="288">
        <v>941.21519999999998</v>
      </c>
      <c r="S1209" s="288">
        <v>0</v>
      </c>
      <c r="T1209" s="217"/>
      <c r="U1209" s="288">
        <v>0</v>
      </c>
      <c r="V1209" s="288">
        <v>0</v>
      </c>
      <c r="W1209" s="203">
        <f t="shared" si="374"/>
        <v>0</v>
      </c>
      <c r="X1209" s="203">
        <f t="shared" si="375"/>
        <v>0</v>
      </c>
    </row>
    <row r="1210" spans="1:24" ht="25.5" hidden="1" x14ac:dyDescent="0.2">
      <c r="A1210" s="451" t="s">
        <v>1009</v>
      </c>
      <c r="B1210" s="306" t="s">
        <v>180</v>
      </c>
      <c r="C1210" s="354" t="s">
        <v>8</v>
      </c>
      <c r="D1210" s="354" t="s">
        <v>613</v>
      </c>
      <c r="E1210" s="450" t="s">
        <v>1008</v>
      </c>
      <c r="F1210" s="450"/>
      <c r="G1210" s="498">
        <f>G1211</f>
        <v>0</v>
      </c>
      <c r="H1210" s="498">
        <f>H1211</f>
        <v>0</v>
      </c>
      <c r="I1210" s="591">
        <f>I1211</f>
        <v>0</v>
      </c>
      <c r="J1210" s="591">
        <f>J1211</f>
        <v>0</v>
      </c>
      <c r="K1210" s="591">
        <f t="shared" si="367"/>
        <v>0</v>
      </c>
      <c r="L1210" s="591">
        <f t="shared" si="368"/>
        <v>0</v>
      </c>
      <c r="M1210" s="217">
        <f t="shared" si="378"/>
        <v>0</v>
      </c>
      <c r="N1210" s="43"/>
      <c r="R1210" s="591">
        <f>R1211</f>
        <v>0</v>
      </c>
      <c r="S1210" s="591">
        <f>S1211</f>
        <v>0</v>
      </c>
      <c r="T1210" s="217"/>
      <c r="U1210" s="498">
        <f>U1211</f>
        <v>0</v>
      </c>
      <c r="V1210" s="498">
        <f>V1211</f>
        <v>0</v>
      </c>
      <c r="W1210" s="203">
        <f t="shared" si="374"/>
        <v>0</v>
      </c>
      <c r="X1210" s="203">
        <f t="shared" si="375"/>
        <v>0</v>
      </c>
    </row>
    <row r="1211" spans="1:24" ht="15" hidden="1" x14ac:dyDescent="0.2">
      <c r="A1211" s="124" t="s">
        <v>126</v>
      </c>
      <c r="B1211" s="243" t="s">
        <v>180</v>
      </c>
      <c r="C1211" s="353" t="s">
        <v>8</v>
      </c>
      <c r="D1211" s="353" t="s">
        <v>613</v>
      </c>
      <c r="E1211" s="369" t="s">
        <v>1008</v>
      </c>
      <c r="F1211" s="369" t="s">
        <v>124</v>
      </c>
      <c r="G1211" s="288"/>
      <c r="H1211" s="288"/>
      <c r="I1211" s="288"/>
      <c r="J1211" s="288"/>
      <c r="K1211" s="43">
        <f t="shared" si="367"/>
        <v>0</v>
      </c>
      <c r="L1211" s="43">
        <f t="shared" si="368"/>
        <v>0</v>
      </c>
      <c r="M1211" s="217">
        <f t="shared" si="378"/>
        <v>0</v>
      </c>
      <c r="N1211" s="43"/>
      <c r="R1211" s="288"/>
      <c r="S1211" s="288"/>
      <c r="T1211" s="217"/>
      <c r="U1211" s="288"/>
      <c r="V1211" s="288"/>
      <c r="W1211" s="203">
        <f t="shared" si="374"/>
        <v>0</v>
      </c>
      <c r="X1211" s="203">
        <f t="shared" si="375"/>
        <v>0</v>
      </c>
    </row>
    <row r="1212" spans="1:24" ht="15.75" hidden="1" customHeight="1" x14ac:dyDescent="0.2">
      <c r="A1212" s="451" t="s">
        <v>236</v>
      </c>
      <c r="B1212" s="306" t="s">
        <v>180</v>
      </c>
      <c r="C1212" s="354" t="s">
        <v>8</v>
      </c>
      <c r="D1212" s="354" t="s">
        <v>613</v>
      </c>
      <c r="E1212" s="450" t="s">
        <v>536</v>
      </c>
      <c r="F1212" s="450"/>
      <c r="G1212" s="498">
        <f>G1213</f>
        <v>0</v>
      </c>
      <c r="H1212" s="498">
        <f>H1213</f>
        <v>0</v>
      </c>
      <c r="I1212" s="591">
        <f>I1213</f>
        <v>0</v>
      </c>
      <c r="J1212" s="591">
        <f>J1213</f>
        <v>0</v>
      </c>
      <c r="K1212" s="591">
        <f t="shared" si="367"/>
        <v>0</v>
      </c>
      <c r="L1212" s="591">
        <f t="shared" si="368"/>
        <v>0</v>
      </c>
      <c r="M1212" s="217">
        <f t="shared" si="378"/>
        <v>0</v>
      </c>
      <c r="N1212" s="171"/>
      <c r="R1212" s="591">
        <f>R1213</f>
        <v>0</v>
      </c>
      <c r="S1212" s="591">
        <f>S1213</f>
        <v>0</v>
      </c>
      <c r="T1212" s="217"/>
      <c r="U1212" s="498">
        <f>U1213</f>
        <v>60</v>
      </c>
      <c r="V1212" s="498">
        <f>V1213</f>
        <v>0</v>
      </c>
      <c r="W1212" s="203">
        <f t="shared" si="374"/>
        <v>0</v>
      </c>
      <c r="X1212" s="203">
        <f t="shared" si="375"/>
        <v>0</v>
      </c>
    </row>
    <row r="1213" spans="1:24" ht="15.75" hidden="1" customHeight="1" x14ac:dyDescent="0.2">
      <c r="A1213" s="124" t="s">
        <v>834</v>
      </c>
      <c r="B1213" s="243" t="s">
        <v>180</v>
      </c>
      <c r="C1213" s="353" t="s">
        <v>8</v>
      </c>
      <c r="D1213" s="353" t="s">
        <v>613</v>
      </c>
      <c r="E1213" s="369" t="s">
        <v>536</v>
      </c>
      <c r="F1213" s="369" t="s">
        <v>634</v>
      </c>
      <c r="G1213" s="288"/>
      <c r="H1213" s="288">
        <v>0</v>
      </c>
      <c r="I1213" s="288"/>
      <c r="J1213" s="288">
        <v>0</v>
      </c>
      <c r="K1213" s="43">
        <f t="shared" si="367"/>
        <v>0</v>
      </c>
      <c r="L1213" s="43">
        <f t="shared" si="368"/>
        <v>0</v>
      </c>
      <c r="M1213" s="217">
        <f t="shared" si="378"/>
        <v>0</v>
      </c>
      <c r="N1213" s="171"/>
      <c r="R1213" s="288"/>
      <c r="S1213" s="288">
        <v>0</v>
      </c>
      <c r="T1213" s="217"/>
      <c r="U1213" s="288">
        <v>60</v>
      </c>
      <c r="V1213" s="288"/>
      <c r="W1213" s="203">
        <f t="shared" si="374"/>
        <v>0</v>
      </c>
      <c r="X1213" s="203">
        <f t="shared" si="375"/>
        <v>0</v>
      </c>
    </row>
    <row r="1214" spans="1:24" ht="33" hidden="1" customHeight="1" x14ac:dyDescent="0.2">
      <c r="A1214" s="520" t="s">
        <v>701</v>
      </c>
      <c r="B1214" s="306" t="s">
        <v>180</v>
      </c>
      <c r="C1214" s="354" t="s">
        <v>8</v>
      </c>
      <c r="D1214" s="354" t="s">
        <v>613</v>
      </c>
      <c r="E1214" s="521" t="s">
        <v>1041</v>
      </c>
      <c r="F1214" s="514"/>
      <c r="G1214" s="498">
        <f>G1215</f>
        <v>0</v>
      </c>
      <c r="H1214" s="498">
        <f>H1215</f>
        <v>0</v>
      </c>
      <c r="I1214" s="591">
        <f>I1215</f>
        <v>0</v>
      </c>
      <c r="J1214" s="591">
        <f>J1215</f>
        <v>0</v>
      </c>
      <c r="K1214" s="591">
        <f t="shared" si="367"/>
        <v>0</v>
      </c>
      <c r="L1214" s="591">
        <f t="shared" si="368"/>
        <v>0</v>
      </c>
      <c r="M1214" s="217"/>
      <c r="N1214" s="171"/>
      <c r="R1214" s="591">
        <f>R1215</f>
        <v>0</v>
      </c>
      <c r="S1214" s="591">
        <f>S1215</f>
        <v>0</v>
      </c>
      <c r="T1214" s="217"/>
      <c r="U1214" s="498">
        <f>U1215</f>
        <v>8598.4284000000007</v>
      </c>
      <c r="V1214" s="498">
        <f>V1215</f>
        <v>0</v>
      </c>
      <c r="W1214" s="203"/>
      <c r="X1214" s="203"/>
    </row>
    <row r="1215" spans="1:24" ht="15.75" hidden="1" customHeight="1" x14ac:dyDescent="0.2">
      <c r="A1215" s="186" t="s">
        <v>126</v>
      </c>
      <c r="B1215" s="243" t="s">
        <v>180</v>
      </c>
      <c r="C1215" s="353" t="s">
        <v>8</v>
      </c>
      <c r="D1215" s="353" t="s">
        <v>613</v>
      </c>
      <c r="E1215" s="369" t="s">
        <v>1041</v>
      </c>
      <c r="F1215" s="369">
        <v>622</v>
      </c>
      <c r="G1215" s="288"/>
      <c r="H1215" s="288"/>
      <c r="I1215" s="288"/>
      <c r="J1215" s="288"/>
      <c r="K1215" s="43">
        <f t="shared" si="367"/>
        <v>0</v>
      </c>
      <c r="L1215" s="43">
        <f t="shared" si="368"/>
        <v>0</v>
      </c>
      <c r="M1215" s="217"/>
      <c r="N1215" s="171"/>
      <c r="R1215" s="288"/>
      <c r="S1215" s="288"/>
      <c r="T1215" s="217"/>
      <c r="U1215" s="288">
        <v>8598.4284000000007</v>
      </c>
      <c r="V1215" s="288"/>
      <c r="W1215" s="203"/>
      <c r="X1215" s="203"/>
    </row>
    <row r="1216" spans="1:24" ht="12" hidden="1" customHeight="1" x14ac:dyDescent="0.2">
      <c r="A1216" s="451" t="s">
        <v>294</v>
      </c>
      <c r="B1216" s="306" t="s">
        <v>180</v>
      </c>
      <c r="C1216" s="354" t="s">
        <v>8</v>
      </c>
      <c r="D1216" s="354" t="s">
        <v>613</v>
      </c>
      <c r="E1216" s="450" t="s">
        <v>692</v>
      </c>
      <c r="F1216" s="450"/>
      <c r="G1216" s="498">
        <f>G1217</f>
        <v>0</v>
      </c>
      <c r="H1216" s="498">
        <f>H1217</f>
        <v>0</v>
      </c>
      <c r="I1216" s="591">
        <f>I1217</f>
        <v>0</v>
      </c>
      <c r="J1216" s="591">
        <f>J1217</f>
        <v>0</v>
      </c>
      <c r="K1216" s="591">
        <f t="shared" si="367"/>
        <v>0</v>
      </c>
      <c r="L1216" s="591">
        <f t="shared" si="368"/>
        <v>0</v>
      </c>
      <c r="M1216" s="217">
        <f t="shared" si="378"/>
        <v>0</v>
      </c>
      <c r="N1216" s="170">
        <f>N1217</f>
        <v>121.81</v>
      </c>
      <c r="R1216" s="591">
        <f>R1217</f>
        <v>519.60064</v>
      </c>
      <c r="S1216" s="591">
        <f>S1217</f>
        <v>0</v>
      </c>
      <c r="T1216" s="217">
        <f t="shared" ref="T1216:T1228" si="396">I1216-G1216</f>
        <v>0</v>
      </c>
      <c r="U1216" s="498">
        <f t="shared" ref="U1216:V1218" si="397">U1217</f>
        <v>1303.14768</v>
      </c>
      <c r="V1216" s="498">
        <f t="shared" si="397"/>
        <v>0</v>
      </c>
      <c r="W1216" s="203">
        <f t="shared" si="374"/>
        <v>0</v>
      </c>
      <c r="X1216" s="203">
        <f t="shared" si="375"/>
        <v>0</v>
      </c>
    </row>
    <row r="1217" spans="1:24" ht="12" hidden="1" customHeight="1" x14ac:dyDescent="0.2">
      <c r="A1217" s="124" t="s">
        <v>126</v>
      </c>
      <c r="B1217" s="243" t="s">
        <v>180</v>
      </c>
      <c r="C1217" s="353" t="s">
        <v>8</v>
      </c>
      <c r="D1217" s="353" t="s">
        <v>613</v>
      </c>
      <c r="E1217" s="369" t="s">
        <v>692</v>
      </c>
      <c r="F1217" s="369" t="s">
        <v>124</v>
      </c>
      <c r="G1217" s="288"/>
      <c r="H1217" s="288"/>
      <c r="I1217" s="288"/>
      <c r="J1217" s="288"/>
      <c r="K1217" s="43">
        <f t="shared" si="367"/>
        <v>0</v>
      </c>
      <c r="L1217" s="43">
        <f t="shared" si="368"/>
        <v>0</v>
      </c>
      <c r="M1217" s="217">
        <f t="shared" si="378"/>
        <v>0</v>
      </c>
      <c r="N1217" s="171">
        <v>121.81</v>
      </c>
      <c r="R1217" s="288">
        <v>519.60064</v>
      </c>
      <c r="S1217" s="288"/>
      <c r="T1217" s="217">
        <f t="shared" si="396"/>
        <v>0</v>
      </c>
      <c r="U1217" s="288">
        <v>1303.14768</v>
      </c>
      <c r="V1217" s="288">
        <v>0</v>
      </c>
      <c r="W1217" s="203">
        <f t="shared" si="374"/>
        <v>0</v>
      </c>
      <c r="X1217" s="203">
        <f t="shared" si="375"/>
        <v>0</v>
      </c>
    </row>
    <row r="1218" spans="1:24" ht="40.5" hidden="1" customHeight="1" x14ac:dyDescent="0.2">
      <c r="A1218" s="451" t="s">
        <v>1233</v>
      </c>
      <c r="B1218" s="306" t="s">
        <v>180</v>
      </c>
      <c r="C1218" s="354" t="s">
        <v>8</v>
      </c>
      <c r="D1218" s="354" t="s">
        <v>613</v>
      </c>
      <c r="E1218" s="450" t="s">
        <v>782</v>
      </c>
      <c r="F1218" s="450"/>
      <c r="G1218" s="498">
        <f>G1219</f>
        <v>0</v>
      </c>
      <c r="H1218" s="498">
        <f>H1219</f>
        <v>0</v>
      </c>
      <c r="I1218" s="591">
        <f>I1219</f>
        <v>0</v>
      </c>
      <c r="J1218" s="591">
        <f>J1219</f>
        <v>0</v>
      </c>
      <c r="K1218" s="591">
        <f t="shared" si="367"/>
        <v>0</v>
      </c>
      <c r="L1218" s="591">
        <f t="shared" si="368"/>
        <v>0</v>
      </c>
      <c r="M1218" s="217">
        <f t="shared" si="378"/>
        <v>0</v>
      </c>
      <c r="N1218" s="171"/>
      <c r="R1218" s="591">
        <f>R1219</f>
        <v>0</v>
      </c>
      <c r="S1218" s="591">
        <f>S1219</f>
        <v>0</v>
      </c>
      <c r="T1218" s="217"/>
      <c r="U1218" s="498">
        <f t="shared" si="397"/>
        <v>0</v>
      </c>
      <c r="V1218" s="498">
        <f t="shared" si="397"/>
        <v>0</v>
      </c>
      <c r="W1218" s="203"/>
      <c r="X1218" s="203"/>
    </row>
    <row r="1219" spans="1:24" ht="12" hidden="1" customHeight="1" x14ac:dyDescent="0.2">
      <c r="A1219" s="124" t="s">
        <v>126</v>
      </c>
      <c r="B1219" s="243" t="s">
        <v>180</v>
      </c>
      <c r="C1219" s="353" t="s">
        <v>8</v>
      </c>
      <c r="D1219" s="353" t="s">
        <v>613</v>
      </c>
      <c r="E1219" s="369" t="s">
        <v>782</v>
      </c>
      <c r="F1219" s="369" t="s">
        <v>124</v>
      </c>
      <c r="G1219" s="288">
        <v>0</v>
      </c>
      <c r="H1219" s="288"/>
      <c r="I1219" s="288">
        <v>0</v>
      </c>
      <c r="J1219" s="288"/>
      <c r="K1219" s="43">
        <f t="shared" si="367"/>
        <v>0</v>
      </c>
      <c r="L1219" s="43">
        <f t="shared" si="368"/>
        <v>0</v>
      </c>
      <c r="M1219" s="217">
        <f t="shared" si="378"/>
        <v>0</v>
      </c>
      <c r="N1219" s="171"/>
      <c r="R1219" s="288">
        <v>0</v>
      </c>
      <c r="S1219" s="288"/>
      <c r="T1219" s="217"/>
      <c r="U1219" s="288">
        <v>0</v>
      </c>
      <c r="V1219" s="288"/>
      <c r="W1219" s="203"/>
      <c r="X1219" s="203"/>
    </row>
    <row r="1220" spans="1:24" s="181" customFormat="1" ht="15" x14ac:dyDescent="0.2">
      <c r="A1220" s="746" t="s">
        <v>121</v>
      </c>
      <c r="B1220" s="306" t="s">
        <v>180</v>
      </c>
      <c r="C1220" s="354" t="s">
        <v>27</v>
      </c>
      <c r="D1220" s="354"/>
      <c r="E1220" s="450"/>
      <c r="F1220" s="450"/>
      <c r="G1220" s="591">
        <f t="shared" ref="G1220:J1221" si="398">G1221</f>
        <v>4000</v>
      </c>
      <c r="H1220" s="591">
        <f t="shared" si="398"/>
        <v>0</v>
      </c>
      <c r="I1220" s="591">
        <f t="shared" si="398"/>
        <v>4000</v>
      </c>
      <c r="J1220" s="591">
        <f t="shared" si="398"/>
        <v>0</v>
      </c>
      <c r="K1220" s="591">
        <f t="shared" si="367"/>
        <v>0</v>
      </c>
      <c r="L1220" s="591">
        <f t="shared" si="368"/>
        <v>0</v>
      </c>
      <c r="M1220" s="217">
        <f t="shared" si="378"/>
        <v>0</v>
      </c>
      <c r="N1220" s="42" t="e">
        <f>N1221</f>
        <v>#REF!</v>
      </c>
      <c r="R1220" s="591">
        <f>R1221</f>
        <v>4000</v>
      </c>
      <c r="S1220" s="591">
        <f>S1221</f>
        <v>0</v>
      </c>
      <c r="T1220" s="217">
        <f t="shared" si="396"/>
        <v>0</v>
      </c>
      <c r="U1220" s="498">
        <f>U1221</f>
        <v>4289.6000000000004</v>
      </c>
      <c r="V1220" s="498">
        <f>V1221</f>
        <v>0</v>
      </c>
      <c r="W1220" s="203">
        <f t="shared" si="374"/>
        <v>0</v>
      </c>
      <c r="X1220" s="203">
        <f t="shared" si="375"/>
        <v>0</v>
      </c>
    </row>
    <row r="1221" spans="1:24" s="181" customFormat="1" ht="15" x14ac:dyDescent="0.2">
      <c r="A1221" s="746" t="s">
        <v>16</v>
      </c>
      <c r="B1221" s="306" t="s">
        <v>180</v>
      </c>
      <c r="C1221" s="354" t="s">
        <v>27</v>
      </c>
      <c r="D1221" s="354" t="s">
        <v>606</v>
      </c>
      <c r="E1221" s="450"/>
      <c r="F1221" s="450"/>
      <c r="G1221" s="591">
        <f t="shared" si="398"/>
        <v>4000</v>
      </c>
      <c r="H1221" s="591">
        <f t="shared" si="398"/>
        <v>0</v>
      </c>
      <c r="I1221" s="591">
        <f t="shared" si="398"/>
        <v>4000</v>
      </c>
      <c r="J1221" s="591">
        <f t="shared" si="398"/>
        <v>0</v>
      </c>
      <c r="K1221" s="591">
        <f t="shared" si="367"/>
        <v>0</v>
      </c>
      <c r="L1221" s="591">
        <f t="shared" si="368"/>
        <v>0</v>
      </c>
      <c r="M1221" s="217">
        <f t="shared" si="378"/>
        <v>0</v>
      </c>
      <c r="N1221" s="170" t="e">
        <f>N1222</f>
        <v>#REF!</v>
      </c>
      <c r="R1221" s="591">
        <f>R1222</f>
        <v>4000</v>
      </c>
      <c r="S1221" s="591">
        <f>S1222</f>
        <v>0</v>
      </c>
      <c r="T1221" s="217">
        <f t="shared" si="396"/>
        <v>0</v>
      </c>
      <c r="U1221" s="498">
        <f>U1222</f>
        <v>4289.6000000000004</v>
      </c>
      <c r="V1221" s="498">
        <f>V1222</f>
        <v>0</v>
      </c>
      <c r="W1221" s="203">
        <f t="shared" si="374"/>
        <v>0</v>
      </c>
      <c r="X1221" s="203">
        <f t="shared" si="375"/>
        <v>0</v>
      </c>
    </row>
    <row r="1222" spans="1:24" s="181" customFormat="1" ht="15" x14ac:dyDescent="0.2">
      <c r="A1222" s="746" t="s">
        <v>65</v>
      </c>
      <c r="B1222" s="306" t="s">
        <v>180</v>
      </c>
      <c r="C1222" s="354" t="s">
        <v>27</v>
      </c>
      <c r="D1222" s="354" t="s">
        <v>606</v>
      </c>
      <c r="E1222" s="450" t="s">
        <v>312</v>
      </c>
      <c r="F1222" s="450"/>
      <c r="G1222" s="591">
        <f>G1223+G1226+G1229</f>
        <v>4000</v>
      </c>
      <c r="H1222" s="591">
        <f>H1223+H1226+H1229</f>
        <v>0</v>
      </c>
      <c r="I1222" s="591">
        <f>I1223+I1226+I1229</f>
        <v>4000</v>
      </c>
      <c r="J1222" s="591">
        <f>J1223+J1226+J1229</f>
        <v>0</v>
      </c>
      <c r="K1222" s="591">
        <f t="shared" si="367"/>
        <v>0</v>
      </c>
      <c r="L1222" s="591">
        <f t="shared" si="368"/>
        <v>0</v>
      </c>
      <c r="M1222" s="217">
        <f t="shared" si="378"/>
        <v>0</v>
      </c>
      <c r="N1222" s="170" t="e">
        <f>N1223+N1226</f>
        <v>#REF!</v>
      </c>
      <c r="R1222" s="591">
        <f>R1223+R1226+R1229</f>
        <v>4000</v>
      </c>
      <c r="S1222" s="591">
        <f>S1223+S1226+S1229</f>
        <v>0</v>
      </c>
      <c r="T1222" s="217">
        <f t="shared" si="396"/>
        <v>0</v>
      </c>
      <c r="U1222" s="498">
        <f>U1223+U1226+U1229</f>
        <v>4289.6000000000004</v>
      </c>
      <c r="V1222" s="498">
        <f>V1223+V1226+V1229</f>
        <v>0</v>
      </c>
      <c r="W1222" s="203">
        <f t="shared" si="374"/>
        <v>0</v>
      </c>
      <c r="X1222" s="203">
        <f t="shared" si="375"/>
        <v>0</v>
      </c>
    </row>
    <row r="1223" spans="1:24" s="181" customFormat="1" ht="12" hidden="1" customHeight="1" x14ac:dyDescent="0.2">
      <c r="A1223" s="451" t="s">
        <v>57</v>
      </c>
      <c r="B1223" s="306" t="s">
        <v>180</v>
      </c>
      <c r="C1223" s="354" t="s">
        <v>27</v>
      </c>
      <c r="D1223" s="354" t="s">
        <v>606</v>
      </c>
      <c r="E1223" s="450" t="s">
        <v>55</v>
      </c>
      <c r="F1223" s="450"/>
      <c r="G1223" s="498">
        <f t="shared" ref="G1223:J1224" si="399">G1224</f>
        <v>0</v>
      </c>
      <c r="H1223" s="498">
        <f t="shared" si="399"/>
        <v>0</v>
      </c>
      <c r="I1223" s="591">
        <f t="shared" si="399"/>
        <v>0</v>
      </c>
      <c r="J1223" s="591">
        <f t="shared" si="399"/>
        <v>0</v>
      </c>
      <c r="K1223" s="591">
        <f t="shared" si="367"/>
        <v>0</v>
      </c>
      <c r="L1223" s="591">
        <f t="shared" si="368"/>
        <v>0</v>
      </c>
      <c r="M1223" s="217">
        <f t="shared" si="378"/>
        <v>0</v>
      </c>
      <c r="N1223" s="170">
        <f>N1224</f>
        <v>0</v>
      </c>
      <c r="R1223" s="591">
        <f>R1224</f>
        <v>0</v>
      </c>
      <c r="S1223" s="591">
        <f>S1224</f>
        <v>0</v>
      </c>
      <c r="T1223" s="217">
        <f t="shared" si="396"/>
        <v>0</v>
      </c>
      <c r="U1223" s="498">
        <f>U1224</f>
        <v>0</v>
      </c>
      <c r="V1223" s="498">
        <f>V1224</f>
        <v>0</v>
      </c>
      <c r="W1223" s="203">
        <f t="shared" si="374"/>
        <v>0</v>
      </c>
      <c r="X1223" s="203">
        <f t="shared" si="375"/>
        <v>0</v>
      </c>
    </row>
    <row r="1224" spans="1:24" s="181" customFormat="1" ht="106.5" hidden="1" customHeight="1" x14ac:dyDescent="0.2">
      <c r="A1224" s="451" t="s">
        <v>58</v>
      </c>
      <c r="B1224" s="306" t="s">
        <v>180</v>
      </c>
      <c r="C1224" s="354" t="s">
        <v>27</v>
      </c>
      <c r="D1224" s="354" t="s">
        <v>606</v>
      </c>
      <c r="E1224" s="450" t="s">
        <v>56</v>
      </c>
      <c r="F1224" s="450"/>
      <c r="G1224" s="498">
        <f t="shared" si="399"/>
        <v>0</v>
      </c>
      <c r="H1224" s="498">
        <f t="shared" si="399"/>
        <v>0</v>
      </c>
      <c r="I1224" s="591">
        <f t="shared" si="399"/>
        <v>0</v>
      </c>
      <c r="J1224" s="591">
        <f t="shared" si="399"/>
        <v>0</v>
      </c>
      <c r="K1224" s="591">
        <f t="shared" si="367"/>
        <v>0</v>
      </c>
      <c r="L1224" s="591">
        <f t="shared" si="368"/>
        <v>0</v>
      </c>
      <c r="M1224" s="217">
        <f t="shared" si="378"/>
        <v>0</v>
      </c>
      <c r="N1224" s="170">
        <f>N1225</f>
        <v>0</v>
      </c>
      <c r="R1224" s="591">
        <f>R1225</f>
        <v>0</v>
      </c>
      <c r="S1224" s="591">
        <f>S1225</f>
        <v>0</v>
      </c>
      <c r="T1224" s="217">
        <f t="shared" si="396"/>
        <v>0</v>
      </c>
      <c r="U1224" s="498">
        <f>U1225</f>
        <v>0</v>
      </c>
      <c r="V1224" s="498">
        <f>V1225</f>
        <v>0</v>
      </c>
      <c r="W1224" s="203">
        <f t="shared" si="374"/>
        <v>0</v>
      </c>
      <c r="X1224" s="203">
        <f t="shared" si="375"/>
        <v>0</v>
      </c>
    </row>
    <row r="1225" spans="1:24" s="181" customFormat="1" ht="24.75" hidden="1" customHeight="1" x14ac:dyDescent="0.2">
      <c r="A1225" s="124" t="s">
        <v>42</v>
      </c>
      <c r="B1225" s="243" t="s">
        <v>180</v>
      </c>
      <c r="C1225" s="353" t="s">
        <v>27</v>
      </c>
      <c r="D1225" s="353" t="s">
        <v>606</v>
      </c>
      <c r="E1225" s="369" t="s">
        <v>56</v>
      </c>
      <c r="F1225" s="369" t="s">
        <v>41</v>
      </c>
      <c r="G1225" s="288">
        <v>0</v>
      </c>
      <c r="H1225" s="288">
        <v>0</v>
      </c>
      <c r="I1225" s="288">
        <v>0</v>
      </c>
      <c r="J1225" s="288">
        <v>0</v>
      </c>
      <c r="K1225" s="43">
        <f t="shared" si="367"/>
        <v>0</v>
      </c>
      <c r="L1225" s="43">
        <f t="shared" si="368"/>
        <v>0</v>
      </c>
      <c r="M1225" s="217">
        <f t="shared" si="378"/>
        <v>0</v>
      </c>
      <c r="N1225" s="171">
        <v>0</v>
      </c>
      <c r="R1225" s="288">
        <v>0</v>
      </c>
      <c r="S1225" s="288">
        <v>0</v>
      </c>
      <c r="T1225" s="217">
        <f t="shared" si="396"/>
        <v>0</v>
      </c>
      <c r="U1225" s="288">
        <v>0</v>
      </c>
      <c r="V1225" s="288">
        <v>0</v>
      </c>
      <c r="W1225" s="203">
        <f t="shared" si="374"/>
        <v>0</v>
      </c>
      <c r="X1225" s="203">
        <f t="shared" si="375"/>
        <v>0</v>
      </c>
    </row>
    <row r="1226" spans="1:24" s="181" customFormat="1" ht="128.25" customHeight="1" x14ac:dyDescent="0.2">
      <c r="A1226" s="746" t="s">
        <v>1315</v>
      </c>
      <c r="B1226" s="306" t="s">
        <v>180</v>
      </c>
      <c r="C1226" s="354" t="s">
        <v>27</v>
      </c>
      <c r="D1226" s="354" t="s">
        <v>606</v>
      </c>
      <c r="E1226" s="450" t="s">
        <v>328</v>
      </c>
      <c r="F1226" s="450"/>
      <c r="G1226" s="591">
        <f>G1227+G1228</f>
        <v>4000</v>
      </c>
      <c r="H1226" s="591">
        <f>H1227+H1228</f>
        <v>0</v>
      </c>
      <c r="I1226" s="591">
        <f>I1227+I1228</f>
        <v>4000</v>
      </c>
      <c r="J1226" s="591">
        <f>J1227+J1228</f>
        <v>0</v>
      </c>
      <c r="K1226" s="591">
        <f t="shared" si="367"/>
        <v>0</v>
      </c>
      <c r="L1226" s="591">
        <f t="shared" si="368"/>
        <v>0</v>
      </c>
      <c r="M1226" s="217">
        <f t="shared" si="378"/>
        <v>0</v>
      </c>
      <c r="N1226" s="170" t="e">
        <f>#REF!+N1227+N1228</f>
        <v>#REF!</v>
      </c>
      <c r="R1226" s="591">
        <f>R1227+R1228</f>
        <v>4000</v>
      </c>
      <c r="S1226" s="591">
        <f>S1227+S1228</f>
        <v>0</v>
      </c>
      <c r="T1226" s="217">
        <f t="shared" si="396"/>
        <v>0</v>
      </c>
      <c r="U1226" s="498">
        <f>U1227+U1228</f>
        <v>4289.6000000000004</v>
      </c>
      <c r="V1226" s="498">
        <f>V1227+V1228</f>
        <v>0</v>
      </c>
      <c r="W1226" s="203">
        <f t="shared" si="374"/>
        <v>0</v>
      </c>
      <c r="X1226" s="203">
        <f t="shared" si="375"/>
        <v>0</v>
      </c>
    </row>
    <row r="1227" spans="1:24" ht="15" x14ac:dyDescent="0.2">
      <c r="A1227" s="739" t="s">
        <v>125</v>
      </c>
      <c r="B1227" s="243" t="s">
        <v>180</v>
      </c>
      <c r="C1227" s="353" t="s">
        <v>27</v>
      </c>
      <c r="D1227" s="353" t="s">
        <v>606</v>
      </c>
      <c r="E1227" s="369" t="s">
        <v>328</v>
      </c>
      <c r="F1227" s="369" t="s">
        <v>123</v>
      </c>
      <c r="G1227" s="288">
        <v>3016.7</v>
      </c>
      <c r="H1227" s="288"/>
      <c r="I1227" s="288">
        <v>3016.7</v>
      </c>
      <c r="J1227" s="288"/>
      <c r="K1227" s="43">
        <f t="shared" si="367"/>
        <v>0</v>
      </c>
      <c r="L1227" s="43">
        <f t="shared" si="368"/>
        <v>0</v>
      </c>
      <c r="M1227" s="217">
        <f t="shared" si="378"/>
        <v>0</v>
      </c>
      <c r="N1227" s="43">
        <v>5199.4949999999999</v>
      </c>
      <c r="R1227" s="288">
        <v>3098.5120000000002</v>
      </c>
      <c r="S1227" s="288"/>
      <c r="T1227" s="217">
        <f t="shared" si="396"/>
        <v>0</v>
      </c>
      <c r="U1227" s="288">
        <v>3316.9</v>
      </c>
      <c r="V1227" s="288">
        <v>0</v>
      </c>
      <c r="W1227" s="203">
        <f t="shared" si="374"/>
        <v>0</v>
      </c>
      <c r="X1227" s="203">
        <f t="shared" si="375"/>
        <v>0</v>
      </c>
    </row>
    <row r="1228" spans="1:24" ht="23.25" customHeight="1" x14ac:dyDescent="0.2">
      <c r="A1228" s="739" t="s">
        <v>126</v>
      </c>
      <c r="B1228" s="243" t="s">
        <v>180</v>
      </c>
      <c r="C1228" s="353" t="s">
        <v>27</v>
      </c>
      <c r="D1228" s="353" t="s">
        <v>606</v>
      </c>
      <c r="E1228" s="369" t="s">
        <v>328</v>
      </c>
      <c r="F1228" s="369" t="s">
        <v>124</v>
      </c>
      <c r="G1228" s="288">
        <v>983.3</v>
      </c>
      <c r="H1228" s="288"/>
      <c r="I1228" s="288">
        <v>983.3</v>
      </c>
      <c r="J1228" s="288"/>
      <c r="K1228" s="43">
        <f t="shared" si="367"/>
        <v>0</v>
      </c>
      <c r="L1228" s="43">
        <f t="shared" si="368"/>
        <v>0</v>
      </c>
      <c r="M1228" s="217">
        <f t="shared" si="378"/>
        <v>0</v>
      </c>
      <c r="N1228" s="43">
        <v>7038.5039999999999</v>
      </c>
      <c r="P1228" s="299"/>
      <c r="Q1228" s="299"/>
      <c r="R1228" s="288">
        <v>901.48800000000006</v>
      </c>
      <c r="S1228" s="288"/>
      <c r="T1228" s="217">
        <f t="shared" si="396"/>
        <v>0</v>
      </c>
      <c r="U1228" s="288">
        <v>972.7</v>
      </c>
      <c r="V1228" s="288">
        <v>0</v>
      </c>
      <c r="W1228" s="203">
        <f t="shared" si="374"/>
        <v>0</v>
      </c>
      <c r="X1228" s="203">
        <f t="shared" si="375"/>
        <v>0</v>
      </c>
    </row>
    <row r="1229" spans="1:24" ht="14.25" hidden="1" customHeight="1" x14ac:dyDescent="0.2">
      <c r="A1229" s="451" t="s">
        <v>236</v>
      </c>
      <c r="B1229" s="306" t="s">
        <v>180</v>
      </c>
      <c r="C1229" s="354" t="s">
        <v>27</v>
      </c>
      <c r="D1229" s="354" t="s">
        <v>606</v>
      </c>
      <c r="E1229" s="450" t="s">
        <v>536</v>
      </c>
      <c r="F1229" s="450"/>
      <c r="G1229" s="498">
        <f>G1230</f>
        <v>0</v>
      </c>
      <c r="H1229" s="498">
        <f>H1230</f>
        <v>0</v>
      </c>
      <c r="I1229" s="591">
        <f>I1230</f>
        <v>0</v>
      </c>
      <c r="J1229" s="591">
        <f>J1230</f>
        <v>0</v>
      </c>
      <c r="K1229" s="591">
        <f t="shared" si="367"/>
        <v>0</v>
      </c>
      <c r="L1229" s="591">
        <f t="shared" si="368"/>
        <v>0</v>
      </c>
      <c r="M1229" s="217">
        <f t="shared" si="378"/>
        <v>0</v>
      </c>
      <c r="N1229" s="43"/>
      <c r="P1229" s="299"/>
      <c r="Q1229" s="299"/>
      <c r="R1229" s="591">
        <f>R1230</f>
        <v>0</v>
      </c>
      <c r="S1229" s="591">
        <f>S1230</f>
        <v>0</v>
      </c>
      <c r="T1229" s="217"/>
      <c r="U1229" s="498">
        <f>U1230</f>
        <v>0</v>
      </c>
      <c r="V1229" s="498">
        <f>V1230</f>
        <v>0</v>
      </c>
      <c r="W1229" s="203">
        <f t="shared" si="374"/>
        <v>0</v>
      </c>
      <c r="X1229" s="203">
        <f t="shared" si="375"/>
        <v>0</v>
      </c>
    </row>
    <row r="1230" spans="1:24" ht="28.5" hidden="1" customHeight="1" x14ac:dyDescent="0.2">
      <c r="A1230" s="124" t="s">
        <v>42</v>
      </c>
      <c r="B1230" s="243" t="s">
        <v>180</v>
      </c>
      <c r="C1230" s="353" t="s">
        <v>27</v>
      </c>
      <c r="D1230" s="353" t="s">
        <v>606</v>
      </c>
      <c r="E1230" s="369" t="s">
        <v>536</v>
      </c>
      <c r="F1230" s="369" t="s">
        <v>41</v>
      </c>
      <c r="G1230" s="288"/>
      <c r="H1230" s="288"/>
      <c r="I1230" s="288"/>
      <c r="J1230" s="288"/>
      <c r="K1230" s="43">
        <f t="shared" si="367"/>
        <v>0</v>
      </c>
      <c r="L1230" s="43">
        <f t="shared" si="368"/>
        <v>0</v>
      </c>
      <c r="M1230" s="217">
        <f t="shared" si="378"/>
        <v>0</v>
      </c>
      <c r="N1230" s="43"/>
      <c r="P1230" s="299"/>
      <c r="Q1230" s="299"/>
      <c r="R1230" s="288"/>
      <c r="S1230" s="288"/>
      <c r="T1230" s="217"/>
      <c r="U1230" s="288"/>
      <c r="V1230" s="288"/>
      <c r="W1230" s="203">
        <f t="shared" si="374"/>
        <v>0</v>
      </c>
      <c r="X1230" s="203">
        <f t="shared" si="375"/>
        <v>0</v>
      </c>
    </row>
    <row r="1231" spans="1:24" s="169" customFormat="1" ht="15" hidden="1" customHeight="1" x14ac:dyDescent="0.25">
      <c r="A1231" s="743" t="s">
        <v>470</v>
      </c>
      <c r="B1231" s="66" t="s">
        <v>98</v>
      </c>
      <c r="C1231" s="346"/>
      <c r="D1231" s="346"/>
      <c r="E1231" s="373"/>
      <c r="F1231" s="373"/>
      <c r="G1231" s="126">
        <f>G1232+G1423+G1482+G1521+G1530+G1582+G1607+G1616+G1409</f>
        <v>215355.29831000001</v>
      </c>
      <c r="H1231" s="126">
        <f>H1232+H1423+H1482+H1521+H1530+H1582+H1607+H1616+H1409</f>
        <v>108755.39586999999</v>
      </c>
      <c r="I1231" s="126">
        <f>I1232+I1423+I1482+I1521+I1530+I1582+I1607+I1616+I1409</f>
        <v>233589.07362000001</v>
      </c>
      <c r="J1231" s="126">
        <f>J1232+J1423+J1482+J1521+J1530+J1582+J1607+J1616+J1409</f>
        <v>109336.99587</v>
      </c>
      <c r="K1231" s="126">
        <f t="shared" si="367"/>
        <v>18233.775309999997</v>
      </c>
      <c r="L1231" s="126">
        <f t="shared" si="368"/>
        <v>581.60000000000582</v>
      </c>
      <c r="M1231" s="217">
        <f t="shared" si="378"/>
        <v>0</v>
      </c>
      <c r="N1231" s="44" t="e">
        <f>N1232+#REF!+N1482+N1530+N1582+N1607+N1616+#REF!+N1521</f>
        <v>#REF!</v>
      </c>
      <c r="R1231" s="126" t="e">
        <f>R1232+R1423+R1482+R1521+R1530+R1582+R1607+R1616+R1409</f>
        <v>#REF!</v>
      </c>
      <c r="S1231" s="126" t="e">
        <f>S1232+S1423+S1482+S1521+S1530+S1582+S1607+S1616+S1409</f>
        <v>#REF!</v>
      </c>
      <c r="T1231" s="217">
        <f t="shared" ref="T1231:T1240" si="400">I1231-G1231</f>
        <v>18233.775309999997</v>
      </c>
      <c r="U1231" s="126">
        <f>U1232+U1423+U1482+U1521+U1530+U1582+U1607+U1616+U1409</f>
        <v>158968.55494</v>
      </c>
      <c r="V1231" s="126">
        <f>V1232+V1423+V1482+V1521+V1530+V1582+V1607+V1616+V1409</f>
        <v>17495.762460000002</v>
      </c>
      <c r="W1231" s="203">
        <f t="shared" si="374"/>
        <v>-18233.775309999997</v>
      </c>
      <c r="X1231" s="203">
        <f t="shared" si="375"/>
        <v>0</v>
      </c>
    </row>
    <row r="1232" spans="1:24" ht="15" x14ac:dyDescent="0.2">
      <c r="A1232" s="746" t="s">
        <v>156</v>
      </c>
      <c r="B1232" s="306" t="s">
        <v>98</v>
      </c>
      <c r="C1232" s="354" t="s">
        <v>605</v>
      </c>
      <c r="D1232" s="354"/>
      <c r="E1232" s="450"/>
      <c r="F1232" s="450"/>
      <c r="G1232" s="591">
        <f>G1233+G1247+G1288+G1282+G1278</f>
        <v>28599.906049999998</v>
      </c>
      <c r="H1232" s="591">
        <f>H1233+H1247+H1288+H1282+H1278</f>
        <v>11.7</v>
      </c>
      <c r="I1232" s="591">
        <f>I1233+I1247+I1288+I1282+I1278</f>
        <v>34050.442510000001</v>
      </c>
      <c r="J1232" s="591">
        <f>J1233+J1247+J1288+J1282+J1278</f>
        <v>593.30000000000007</v>
      </c>
      <c r="K1232" s="591">
        <f t="shared" si="367"/>
        <v>5450.536460000003</v>
      </c>
      <c r="L1232" s="591">
        <f t="shared" si="368"/>
        <v>581.6</v>
      </c>
      <c r="M1232" s="217">
        <f t="shared" si="378"/>
        <v>0</v>
      </c>
      <c r="N1232" s="42">
        <f>N1233+N1247+N1288+N1282+N1278</f>
        <v>17931.624</v>
      </c>
      <c r="P1232" s="299"/>
      <c r="Q1232" s="299"/>
      <c r="R1232" s="591" t="e">
        <f>R1233+R1247+R1288+R1282+R1278</f>
        <v>#REF!</v>
      </c>
      <c r="S1232" s="591" t="e">
        <f>S1233+S1247+S1288+S1282+S1278</f>
        <v>#REF!</v>
      </c>
      <c r="T1232" s="217">
        <f t="shared" si="400"/>
        <v>5450.536460000003</v>
      </c>
      <c r="U1232" s="498">
        <f>U1233+U1247+U1288+U1282+U1278</f>
        <v>19816.597899999997</v>
      </c>
      <c r="V1232" s="498">
        <f>V1233+V1247+V1288+V1282+V1278</f>
        <v>1264.1569999999999</v>
      </c>
      <c r="W1232" s="203">
        <f t="shared" si="374"/>
        <v>-5450.536460000003</v>
      </c>
      <c r="X1232" s="203">
        <f t="shared" si="375"/>
        <v>0</v>
      </c>
    </row>
    <row r="1233" spans="1:24" ht="15.75" customHeight="1" x14ac:dyDescent="0.2">
      <c r="A1233" s="746" t="s">
        <v>94</v>
      </c>
      <c r="B1233" s="306" t="s">
        <v>98</v>
      </c>
      <c r="C1233" s="354" t="s">
        <v>605</v>
      </c>
      <c r="D1233" s="354" t="s">
        <v>614</v>
      </c>
      <c r="E1233" s="450"/>
      <c r="F1233" s="450"/>
      <c r="G1233" s="591">
        <f>G1234</f>
        <v>2052.473</v>
      </c>
      <c r="H1233" s="591">
        <f>H1234</f>
        <v>0</v>
      </c>
      <c r="I1233" s="591">
        <f>I1234</f>
        <v>2944.924</v>
      </c>
      <c r="J1233" s="591">
        <f>J1234</f>
        <v>120</v>
      </c>
      <c r="K1233" s="591">
        <f t="shared" si="367"/>
        <v>892.45100000000002</v>
      </c>
      <c r="L1233" s="591">
        <f t="shared" si="368"/>
        <v>120</v>
      </c>
      <c r="M1233" s="217">
        <f t="shared" si="378"/>
        <v>0</v>
      </c>
      <c r="N1233" s="42">
        <f>N1234</f>
        <v>1715.7</v>
      </c>
      <c r="P1233" s="299"/>
      <c r="Q1233" s="299"/>
      <c r="R1233" s="591">
        <f>R1234</f>
        <v>2095.5239999999999</v>
      </c>
      <c r="S1233" s="591">
        <f>S1234</f>
        <v>0</v>
      </c>
      <c r="T1233" s="217">
        <f t="shared" si="400"/>
        <v>892.45100000000002</v>
      </c>
      <c r="U1233" s="498">
        <f>U1234</f>
        <v>1948.3549999999998</v>
      </c>
      <c r="V1233" s="498">
        <f>V1234</f>
        <v>0</v>
      </c>
      <c r="W1233" s="203">
        <f t="shared" si="374"/>
        <v>-892.45100000000002</v>
      </c>
      <c r="X1233" s="203">
        <f t="shared" si="375"/>
        <v>0</v>
      </c>
    </row>
    <row r="1234" spans="1:24" ht="15" x14ac:dyDescent="0.2">
      <c r="A1234" s="746" t="s">
        <v>65</v>
      </c>
      <c r="B1234" s="306" t="s">
        <v>98</v>
      </c>
      <c r="C1234" s="354" t="s">
        <v>605</v>
      </c>
      <c r="D1234" s="354" t="s">
        <v>614</v>
      </c>
      <c r="E1234" s="450" t="s">
        <v>312</v>
      </c>
      <c r="F1234" s="450"/>
      <c r="G1234" s="591">
        <f>G1238+G1244+G1241+G1235</f>
        <v>2052.473</v>
      </c>
      <c r="H1234" s="591">
        <f t="shared" ref="H1234:L1234" si="401">H1238+H1244+H1241+H1235</f>
        <v>0</v>
      </c>
      <c r="I1234" s="591">
        <f t="shared" si="401"/>
        <v>2944.924</v>
      </c>
      <c r="J1234" s="591">
        <f t="shared" si="401"/>
        <v>120</v>
      </c>
      <c r="K1234" s="591">
        <f t="shared" si="401"/>
        <v>892.45099999999991</v>
      </c>
      <c r="L1234" s="591">
        <f t="shared" si="401"/>
        <v>120</v>
      </c>
      <c r="M1234" s="217">
        <f t="shared" si="378"/>
        <v>0</v>
      </c>
      <c r="N1234" s="42">
        <f>N1238</f>
        <v>1715.7</v>
      </c>
      <c r="P1234" s="299"/>
      <c r="Q1234" s="299"/>
      <c r="R1234" s="591">
        <f>R1238+R1244</f>
        <v>2095.5239999999999</v>
      </c>
      <c r="S1234" s="591">
        <f>S1238+S1244</f>
        <v>0</v>
      </c>
      <c r="T1234" s="217">
        <f t="shared" si="400"/>
        <v>892.45100000000002</v>
      </c>
      <c r="U1234" s="498">
        <f>U1238+U1244</f>
        <v>1948.3549999999998</v>
      </c>
      <c r="V1234" s="498">
        <f>V1238+V1244</f>
        <v>0</v>
      </c>
      <c r="W1234" s="203">
        <f t="shared" si="374"/>
        <v>-892.45100000000002</v>
      </c>
      <c r="X1234" s="203">
        <f t="shared" si="375"/>
        <v>0</v>
      </c>
    </row>
    <row r="1235" spans="1:24" ht="15" x14ac:dyDescent="0.2">
      <c r="A1235" s="746" t="s">
        <v>2002</v>
      </c>
      <c r="B1235" s="306" t="s">
        <v>98</v>
      </c>
      <c r="C1235" s="354" t="s">
        <v>605</v>
      </c>
      <c r="D1235" s="354" t="s">
        <v>614</v>
      </c>
      <c r="E1235" s="697">
        <v>9990055493</v>
      </c>
      <c r="F1235" s="697"/>
      <c r="G1235" s="591">
        <f>SUM(G1236:G1237)</f>
        <v>0</v>
      </c>
      <c r="H1235" s="591">
        <f>SUM(H1236:H1237)</f>
        <v>0</v>
      </c>
      <c r="I1235" s="591">
        <f>SUM(I1236:I1237)</f>
        <v>120</v>
      </c>
      <c r="J1235" s="591">
        <f>SUM(J1236:J1237)</f>
        <v>120</v>
      </c>
      <c r="K1235" s="591">
        <f t="shared" ref="K1235:K1237" si="402">I1235-G1235</f>
        <v>120</v>
      </c>
      <c r="L1235" s="591">
        <f t="shared" ref="L1235:L1237" si="403">J1235-H1235</f>
        <v>120</v>
      </c>
      <c r="M1235" s="217"/>
      <c r="N1235" s="42"/>
      <c r="P1235" s="299"/>
      <c r="Q1235" s="299"/>
      <c r="R1235" s="591"/>
      <c r="S1235" s="591"/>
      <c r="T1235" s="217"/>
      <c r="U1235" s="591"/>
      <c r="V1235" s="591"/>
      <c r="W1235" s="203"/>
      <c r="X1235" s="203"/>
    </row>
    <row r="1236" spans="1:24" ht="15" x14ac:dyDescent="0.2">
      <c r="A1236" s="739" t="s">
        <v>523</v>
      </c>
      <c r="B1236" s="243" t="s">
        <v>98</v>
      </c>
      <c r="C1236" s="353" t="s">
        <v>605</v>
      </c>
      <c r="D1236" s="353" t="s">
        <v>614</v>
      </c>
      <c r="E1236" s="369">
        <v>9990055493</v>
      </c>
      <c r="F1236" s="369" t="s">
        <v>129</v>
      </c>
      <c r="G1236" s="288"/>
      <c r="H1236" s="288"/>
      <c r="I1236" s="288">
        <v>92.165899999999993</v>
      </c>
      <c r="J1236" s="288">
        <v>92.165899999999993</v>
      </c>
      <c r="K1236" s="43">
        <f t="shared" si="402"/>
        <v>92.165899999999993</v>
      </c>
      <c r="L1236" s="43">
        <f t="shared" si="403"/>
        <v>92.165899999999993</v>
      </c>
      <c r="M1236" s="217"/>
      <c r="N1236" s="42"/>
      <c r="P1236" s="299"/>
      <c r="Q1236" s="299"/>
      <c r="R1236" s="591"/>
      <c r="S1236" s="591"/>
      <c r="T1236" s="217"/>
      <c r="U1236" s="591"/>
      <c r="V1236" s="591"/>
      <c r="W1236" s="203"/>
      <c r="X1236" s="203"/>
    </row>
    <row r="1237" spans="1:24" ht="25.5" x14ac:dyDescent="0.2">
      <c r="A1237" s="739" t="s">
        <v>572</v>
      </c>
      <c r="B1237" s="243" t="s">
        <v>98</v>
      </c>
      <c r="C1237" s="353" t="s">
        <v>605</v>
      </c>
      <c r="D1237" s="353" t="s">
        <v>614</v>
      </c>
      <c r="E1237" s="369">
        <v>9990055493</v>
      </c>
      <c r="F1237" s="369" t="s">
        <v>524</v>
      </c>
      <c r="G1237" s="288"/>
      <c r="H1237" s="288"/>
      <c r="I1237" s="288">
        <v>27.834099999999999</v>
      </c>
      <c r="J1237" s="288">
        <v>27.834099999999999</v>
      </c>
      <c r="K1237" s="43">
        <f t="shared" si="402"/>
        <v>27.834099999999999</v>
      </c>
      <c r="L1237" s="43">
        <f t="shared" si="403"/>
        <v>27.834099999999999</v>
      </c>
      <c r="M1237" s="217"/>
      <c r="N1237" s="42"/>
      <c r="P1237" s="299"/>
      <c r="Q1237" s="299"/>
      <c r="R1237" s="591"/>
      <c r="S1237" s="591"/>
      <c r="T1237" s="217"/>
      <c r="U1237" s="591"/>
      <c r="V1237" s="591"/>
      <c r="W1237" s="203"/>
      <c r="X1237" s="203"/>
    </row>
    <row r="1238" spans="1:24" ht="15" x14ac:dyDescent="0.2">
      <c r="A1238" s="746" t="s">
        <v>40</v>
      </c>
      <c r="B1238" s="306" t="s">
        <v>98</v>
      </c>
      <c r="C1238" s="354" t="s">
        <v>605</v>
      </c>
      <c r="D1238" s="354" t="s">
        <v>614</v>
      </c>
      <c r="E1238" s="450" t="s">
        <v>573</v>
      </c>
      <c r="F1238" s="450"/>
      <c r="G1238" s="591">
        <f>SUM(G1239:G1240)</f>
        <v>741.76300000000003</v>
      </c>
      <c r="H1238" s="591">
        <f>SUM(H1239:H1240)</f>
        <v>0</v>
      </c>
      <c r="I1238" s="591">
        <f>SUM(I1239:I1240)</f>
        <v>735.00004999999999</v>
      </c>
      <c r="J1238" s="591">
        <f>SUM(J1239:J1240)</f>
        <v>0</v>
      </c>
      <c r="K1238" s="591">
        <f t="shared" si="367"/>
        <v>-6.7629500000000462</v>
      </c>
      <c r="L1238" s="591">
        <f t="shared" si="368"/>
        <v>0</v>
      </c>
      <c r="M1238" s="217">
        <f t="shared" si="378"/>
        <v>0</v>
      </c>
      <c r="N1238" s="42">
        <f>SUM(N1239:N1240)</f>
        <v>1715.7</v>
      </c>
      <c r="P1238" s="299"/>
      <c r="Q1238" s="299"/>
      <c r="R1238" s="591">
        <f>SUM(R1239:R1240)</f>
        <v>933.45899999999995</v>
      </c>
      <c r="S1238" s="591">
        <f>SUM(S1239:S1240)</f>
        <v>0</v>
      </c>
      <c r="T1238" s="217">
        <f t="shared" si="400"/>
        <v>-6.7629500000000462</v>
      </c>
      <c r="U1238" s="498">
        <f>SUM(U1239:U1240)</f>
        <v>1653.2559999999999</v>
      </c>
      <c r="V1238" s="498">
        <f>SUM(V1239:V1240)</f>
        <v>0</v>
      </c>
      <c r="W1238" s="203">
        <f t="shared" si="374"/>
        <v>6.7629500000000462</v>
      </c>
      <c r="X1238" s="203">
        <f t="shared" si="375"/>
        <v>0</v>
      </c>
    </row>
    <row r="1239" spans="1:24" ht="15" x14ac:dyDescent="0.2">
      <c r="A1239" s="739" t="s">
        <v>523</v>
      </c>
      <c r="B1239" s="243" t="s">
        <v>98</v>
      </c>
      <c r="C1239" s="353" t="s">
        <v>605</v>
      </c>
      <c r="D1239" s="353" t="s">
        <v>614</v>
      </c>
      <c r="E1239" s="369" t="s">
        <v>573</v>
      </c>
      <c r="F1239" s="369" t="s">
        <v>129</v>
      </c>
      <c r="G1239" s="288">
        <v>569.71</v>
      </c>
      <c r="H1239" s="288"/>
      <c r="I1239" s="288">
        <v>586.46708999999998</v>
      </c>
      <c r="J1239" s="288"/>
      <c r="K1239" s="43">
        <f t="shared" ref="K1239:K1307" si="404">I1239-G1239</f>
        <v>16.757089999999948</v>
      </c>
      <c r="L1239" s="43">
        <f t="shared" ref="L1239:L1307" si="405">J1239-H1239</f>
        <v>0</v>
      </c>
      <c r="M1239" s="217">
        <f t="shared" si="378"/>
        <v>0</v>
      </c>
      <c r="N1239" s="43">
        <f>1715.7-398</f>
        <v>1317.7</v>
      </c>
      <c r="R1239" s="288">
        <v>728.43899999999996</v>
      </c>
      <c r="S1239" s="288"/>
      <c r="T1239" s="217">
        <f t="shared" si="400"/>
        <v>16.757089999999948</v>
      </c>
      <c r="U1239" s="288">
        <v>1269.8041499999999</v>
      </c>
      <c r="V1239" s="288">
        <v>0</v>
      </c>
      <c r="W1239" s="203">
        <f t="shared" si="374"/>
        <v>-16.757089999999948</v>
      </c>
      <c r="X1239" s="203">
        <f t="shared" si="375"/>
        <v>0</v>
      </c>
    </row>
    <row r="1240" spans="1:24" ht="25.5" x14ac:dyDescent="0.2">
      <c r="A1240" s="739" t="s">
        <v>572</v>
      </c>
      <c r="B1240" s="243" t="s">
        <v>98</v>
      </c>
      <c r="C1240" s="353" t="s">
        <v>605</v>
      </c>
      <c r="D1240" s="353" t="s">
        <v>614</v>
      </c>
      <c r="E1240" s="369" t="s">
        <v>573</v>
      </c>
      <c r="F1240" s="369" t="s">
        <v>524</v>
      </c>
      <c r="G1240" s="288">
        <v>172.053</v>
      </c>
      <c r="H1240" s="288"/>
      <c r="I1240" s="288">
        <v>148.53296</v>
      </c>
      <c r="J1240" s="288"/>
      <c r="K1240" s="43">
        <f t="shared" si="404"/>
        <v>-23.520039999999995</v>
      </c>
      <c r="L1240" s="43">
        <f t="shared" si="405"/>
        <v>0</v>
      </c>
      <c r="M1240" s="217">
        <f t="shared" si="378"/>
        <v>0</v>
      </c>
      <c r="N1240" s="43">
        <v>398</v>
      </c>
      <c r="R1240" s="288">
        <v>205.02</v>
      </c>
      <c r="S1240" s="288"/>
      <c r="T1240" s="217">
        <f t="shared" si="400"/>
        <v>-23.520039999999995</v>
      </c>
      <c r="U1240" s="288">
        <v>383.45184999999998</v>
      </c>
      <c r="V1240" s="288">
        <v>0</v>
      </c>
      <c r="W1240" s="203">
        <f t="shared" si="374"/>
        <v>23.520039999999995</v>
      </c>
      <c r="X1240" s="203">
        <f t="shared" si="375"/>
        <v>0</v>
      </c>
    </row>
    <row r="1241" spans="1:24" ht="15" x14ac:dyDescent="0.2">
      <c r="A1241" s="746" t="s">
        <v>1383</v>
      </c>
      <c r="B1241" s="306" t="s">
        <v>98</v>
      </c>
      <c r="C1241" s="354" t="s">
        <v>605</v>
      </c>
      <c r="D1241" s="354" t="s">
        <v>614</v>
      </c>
      <c r="E1241" s="642" t="s">
        <v>1268</v>
      </c>
      <c r="F1241" s="640"/>
      <c r="G1241" s="591">
        <f>G1242+G1243</f>
        <v>1310.71</v>
      </c>
      <c r="H1241" s="591">
        <f>H1242+H1243</f>
        <v>0</v>
      </c>
      <c r="I1241" s="591">
        <f>I1242+I1243</f>
        <v>1310.71</v>
      </c>
      <c r="J1241" s="591">
        <f>J1242+J1243</f>
        <v>0</v>
      </c>
      <c r="K1241" s="591">
        <f t="shared" si="404"/>
        <v>0</v>
      </c>
      <c r="L1241" s="591">
        <f t="shared" si="405"/>
        <v>0</v>
      </c>
      <c r="M1241" s="217"/>
      <c r="N1241" s="43"/>
      <c r="R1241" s="288"/>
      <c r="S1241" s="288"/>
      <c r="T1241" s="217"/>
      <c r="U1241" s="288"/>
      <c r="V1241" s="288"/>
      <c r="W1241" s="203"/>
      <c r="X1241" s="203"/>
    </row>
    <row r="1242" spans="1:24" ht="15" x14ac:dyDescent="0.2">
      <c r="A1242" s="739" t="s">
        <v>523</v>
      </c>
      <c r="B1242" s="243" t="s">
        <v>98</v>
      </c>
      <c r="C1242" s="353" t="s">
        <v>605</v>
      </c>
      <c r="D1242" s="353" t="s">
        <v>614</v>
      </c>
      <c r="E1242" s="386" t="s">
        <v>1268</v>
      </c>
      <c r="F1242" s="369" t="s">
        <v>129</v>
      </c>
      <c r="G1242" s="288">
        <v>1006.69</v>
      </c>
      <c r="H1242" s="288"/>
      <c r="I1242" s="288">
        <v>1006.69</v>
      </c>
      <c r="J1242" s="288"/>
      <c r="K1242" s="43">
        <f t="shared" si="404"/>
        <v>0</v>
      </c>
      <c r="L1242" s="43">
        <f t="shared" si="405"/>
        <v>0</v>
      </c>
      <c r="M1242" s="217"/>
      <c r="N1242" s="43"/>
      <c r="R1242" s="288"/>
      <c r="S1242" s="288"/>
      <c r="T1242" s="217"/>
      <c r="U1242" s="288"/>
      <c r="V1242" s="288"/>
      <c r="W1242" s="203"/>
      <c r="X1242" s="203"/>
    </row>
    <row r="1243" spans="1:24" ht="25.5" x14ac:dyDescent="0.2">
      <c r="A1243" s="744" t="s">
        <v>572</v>
      </c>
      <c r="B1243" s="243" t="s">
        <v>98</v>
      </c>
      <c r="C1243" s="353" t="s">
        <v>605</v>
      </c>
      <c r="D1243" s="353" t="s">
        <v>614</v>
      </c>
      <c r="E1243" s="386" t="s">
        <v>1268</v>
      </c>
      <c r="F1243" s="369" t="s">
        <v>524</v>
      </c>
      <c r="G1243" s="288">
        <v>304.02</v>
      </c>
      <c r="H1243" s="288"/>
      <c r="I1243" s="288">
        <v>304.02</v>
      </c>
      <c r="J1243" s="288"/>
      <c r="K1243" s="43">
        <f t="shared" si="404"/>
        <v>0</v>
      </c>
      <c r="L1243" s="43">
        <f t="shared" si="405"/>
        <v>0</v>
      </c>
      <c r="M1243" s="217"/>
      <c r="N1243" s="43"/>
      <c r="R1243" s="288"/>
      <c r="S1243" s="288"/>
      <c r="T1243" s="217"/>
      <c r="U1243" s="288"/>
      <c r="V1243" s="288"/>
      <c r="W1243" s="203"/>
      <c r="X1243" s="203"/>
    </row>
    <row r="1244" spans="1:24" ht="15" x14ac:dyDescent="0.2">
      <c r="A1244" s="746" t="s">
        <v>1050</v>
      </c>
      <c r="B1244" s="306" t="s">
        <v>98</v>
      </c>
      <c r="C1244" s="354" t="s">
        <v>605</v>
      </c>
      <c r="D1244" s="354" t="s">
        <v>614</v>
      </c>
      <c r="E1244" s="719" t="s">
        <v>2003</v>
      </c>
      <c r="F1244" s="450"/>
      <c r="G1244" s="591">
        <f>G1245+G1246</f>
        <v>0</v>
      </c>
      <c r="H1244" s="591">
        <f>H1245+H1246</f>
        <v>0</v>
      </c>
      <c r="I1244" s="591">
        <f>I1245+I1246</f>
        <v>779.21394999999995</v>
      </c>
      <c r="J1244" s="591">
        <f>J1245+J1246</f>
        <v>0</v>
      </c>
      <c r="K1244" s="591">
        <f t="shared" si="404"/>
        <v>779.21394999999995</v>
      </c>
      <c r="L1244" s="591">
        <f t="shared" si="405"/>
        <v>0</v>
      </c>
      <c r="M1244" s="217">
        <f t="shared" si="378"/>
        <v>0</v>
      </c>
      <c r="N1244" s="43"/>
      <c r="R1244" s="591">
        <f>R1245+R1246</f>
        <v>1162.0650000000001</v>
      </c>
      <c r="S1244" s="591">
        <f>S1245+S1246</f>
        <v>0</v>
      </c>
      <c r="T1244" s="217"/>
      <c r="U1244" s="498">
        <f>U1245+U1246</f>
        <v>295.09899999999999</v>
      </c>
      <c r="V1244" s="498">
        <f>V1245+V1246</f>
        <v>0</v>
      </c>
      <c r="W1244" s="203">
        <f t="shared" si="374"/>
        <v>-779.21394999999995</v>
      </c>
      <c r="X1244" s="203">
        <f t="shared" si="375"/>
        <v>0</v>
      </c>
    </row>
    <row r="1245" spans="1:24" ht="15" x14ac:dyDescent="0.2">
      <c r="A1245" s="739" t="s">
        <v>523</v>
      </c>
      <c r="B1245" s="243" t="s">
        <v>98</v>
      </c>
      <c r="C1245" s="353" t="s">
        <v>605</v>
      </c>
      <c r="D1245" s="353" t="s">
        <v>614</v>
      </c>
      <c r="E1245" s="369" t="s">
        <v>2003</v>
      </c>
      <c r="F1245" s="369" t="s">
        <v>129</v>
      </c>
      <c r="G1245" s="288"/>
      <c r="H1245" s="288"/>
      <c r="I1245" s="288">
        <v>543.01590999999996</v>
      </c>
      <c r="J1245" s="288"/>
      <c r="K1245" s="43">
        <f t="shared" si="404"/>
        <v>543.01590999999996</v>
      </c>
      <c r="L1245" s="43">
        <f t="shared" si="405"/>
        <v>0</v>
      </c>
      <c r="M1245" s="217">
        <f t="shared" si="378"/>
        <v>0</v>
      </c>
      <c r="N1245" s="43"/>
      <c r="R1245" s="288">
        <v>892.52300000000002</v>
      </c>
      <c r="S1245" s="288"/>
      <c r="T1245" s="217"/>
      <c r="U1245" s="288">
        <v>211.624</v>
      </c>
      <c r="V1245" s="288"/>
      <c r="W1245" s="203">
        <f t="shared" si="374"/>
        <v>-543.01590999999996</v>
      </c>
      <c r="X1245" s="203">
        <f t="shared" si="375"/>
        <v>0</v>
      </c>
    </row>
    <row r="1246" spans="1:24" ht="25.5" x14ac:dyDescent="0.2">
      <c r="A1246" s="744" t="s">
        <v>572</v>
      </c>
      <c r="B1246" s="243" t="s">
        <v>98</v>
      </c>
      <c r="C1246" s="353" t="s">
        <v>605</v>
      </c>
      <c r="D1246" s="353" t="s">
        <v>614</v>
      </c>
      <c r="E1246" s="369" t="s">
        <v>2003</v>
      </c>
      <c r="F1246" s="369" t="s">
        <v>524</v>
      </c>
      <c r="G1246" s="288"/>
      <c r="H1246" s="288"/>
      <c r="I1246" s="288">
        <v>236.19803999999999</v>
      </c>
      <c r="J1246" s="288"/>
      <c r="K1246" s="43">
        <f t="shared" si="404"/>
        <v>236.19803999999999</v>
      </c>
      <c r="L1246" s="43">
        <f t="shared" si="405"/>
        <v>0</v>
      </c>
      <c r="M1246" s="217">
        <f t="shared" si="378"/>
        <v>0</v>
      </c>
      <c r="N1246" s="43"/>
      <c r="R1246" s="288">
        <v>269.54199999999997</v>
      </c>
      <c r="S1246" s="288"/>
      <c r="T1246" s="217"/>
      <c r="U1246" s="288">
        <v>83.474999999999994</v>
      </c>
      <c r="V1246" s="288"/>
      <c r="W1246" s="203">
        <f t="shared" si="374"/>
        <v>-236.19803999999999</v>
      </c>
      <c r="X1246" s="203"/>
    </row>
    <row r="1247" spans="1:24" ht="25.5" x14ac:dyDescent="0.2">
      <c r="A1247" s="746" t="s">
        <v>95</v>
      </c>
      <c r="B1247" s="306" t="s">
        <v>98</v>
      </c>
      <c r="C1247" s="354" t="s">
        <v>605</v>
      </c>
      <c r="D1247" s="354" t="s">
        <v>608</v>
      </c>
      <c r="E1247" s="450"/>
      <c r="F1247" s="450"/>
      <c r="G1247" s="591">
        <f>G1248</f>
        <v>15577.790410000001</v>
      </c>
      <c r="H1247" s="591">
        <f>H1248</f>
        <v>0</v>
      </c>
      <c r="I1247" s="591">
        <f>I1248</f>
        <v>19903.375870000003</v>
      </c>
      <c r="J1247" s="591">
        <f>J1248</f>
        <v>461.6</v>
      </c>
      <c r="K1247" s="591">
        <f t="shared" si="404"/>
        <v>4325.5854600000021</v>
      </c>
      <c r="L1247" s="591">
        <f t="shared" si="405"/>
        <v>461.6</v>
      </c>
      <c r="M1247" s="217">
        <f t="shared" si="378"/>
        <v>0</v>
      </c>
      <c r="N1247" s="42">
        <f>N1248</f>
        <v>10232.611999999999</v>
      </c>
      <c r="R1247" s="591">
        <f>R1248</f>
        <v>15864.942389999997</v>
      </c>
      <c r="S1247" s="591">
        <f>S1248</f>
        <v>929.346</v>
      </c>
      <c r="T1247" s="217">
        <f t="shared" ref="T1247:T1266" si="406">I1247-G1247</f>
        <v>4325.5854600000021</v>
      </c>
      <c r="U1247" s="498">
        <f>U1248</f>
        <v>11306.860899999998</v>
      </c>
      <c r="V1247" s="498">
        <f>V1248</f>
        <v>759.25700000000006</v>
      </c>
      <c r="W1247" s="203">
        <f t="shared" si="374"/>
        <v>-4325.5854600000021</v>
      </c>
      <c r="X1247" s="203">
        <f t="shared" si="375"/>
        <v>0</v>
      </c>
    </row>
    <row r="1248" spans="1:24" ht="15" x14ac:dyDescent="0.2">
      <c r="A1248" s="746" t="s">
        <v>65</v>
      </c>
      <c r="B1248" s="306" t="s">
        <v>98</v>
      </c>
      <c r="C1248" s="354" t="s">
        <v>605</v>
      </c>
      <c r="D1248" s="354" t="s">
        <v>608</v>
      </c>
      <c r="E1248" s="450" t="s">
        <v>312</v>
      </c>
      <c r="F1248" s="450"/>
      <c r="G1248" s="591">
        <f>G1260+G1273+G1252+G1257+G1255+G1270+G1249</f>
        <v>15577.790410000001</v>
      </c>
      <c r="H1248" s="591">
        <f t="shared" ref="H1248:L1248" si="407">H1260+H1273+H1252+H1257+H1255+H1270+H1249</f>
        <v>0</v>
      </c>
      <c r="I1248" s="591">
        <f t="shared" si="407"/>
        <v>19903.375870000003</v>
      </c>
      <c r="J1248" s="591">
        <f t="shared" si="407"/>
        <v>461.6</v>
      </c>
      <c r="K1248" s="591">
        <f t="shared" si="407"/>
        <v>4325.5854599999984</v>
      </c>
      <c r="L1248" s="591">
        <f t="shared" si="407"/>
        <v>461.6</v>
      </c>
      <c r="M1248" s="217">
        <f t="shared" si="378"/>
        <v>0</v>
      </c>
      <c r="N1248" s="42">
        <f>N1260</f>
        <v>10232.611999999999</v>
      </c>
      <c r="R1248" s="591">
        <f>R1260+R1273+R1252+R1257</f>
        <v>15864.942389999997</v>
      </c>
      <c r="S1248" s="591">
        <f>S1260+S1273+S1252+S1257</f>
        <v>929.346</v>
      </c>
      <c r="T1248" s="217">
        <f t="shared" si="406"/>
        <v>4325.5854600000021</v>
      </c>
      <c r="U1248" s="498">
        <f>U1260+U1273+U1252</f>
        <v>11306.860899999998</v>
      </c>
      <c r="V1248" s="498">
        <f>V1260+V1273+V1252</f>
        <v>759.25700000000006</v>
      </c>
      <c r="W1248" s="203">
        <f t="shared" si="374"/>
        <v>-4325.5854600000021</v>
      </c>
      <c r="X1248" s="203">
        <f t="shared" si="375"/>
        <v>0</v>
      </c>
    </row>
    <row r="1249" spans="1:24" ht="15" x14ac:dyDescent="0.2">
      <c r="A1249" s="746" t="s">
        <v>2005</v>
      </c>
      <c r="B1249" s="306" t="s">
        <v>98</v>
      </c>
      <c r="C1249" s="354" t="s">
        <v>605</v>
      </c>
      <c r="D1249" s="354" t="s">
        <v>608</v>
      </c>
      <c r="E1249" s="697">
        <v>9990023680</v>
      </c>
      <c r="F1249" s="697"/>
      <c r="G1249" s="591">
        <f>G1250+G1251</f>
        <v>0</v>
      </c>
      <c r="H1249" s="591">
        <f>H1250+H1251</f>
        <v>0</v>
      </c>
      <c r="I1249" s="591">
        <f>I1250+I1251</f>
        <v>948.9980700000001</v>
      </c>
      <c r="J1249" s="591">
        <f>J1250+J1251</f>
        <v>0</v>
      </c>
      <c r="K1249" s="591">
        <f t="shared" ref="K1249:K1251" si="408">I1249-G1249</f>
        <v>948.9980700000001</v>
      </c>
      <c r="L1249" s="591">
        <f t="shared" ref="L1249:L1251" si="409">J1249-H1249</f>
        <v>0</v>
      </c>
      <c r="M1249" s="217"/>
      <c r="N1249" s="42"/>
      <c r="R1249" s="591"/>
      <c r="S1249" s="591"/>
      <c r="T1249" s="217"/>
      <c r="U1249" s="591"/>
      <c r="V1249" s="591"/>
      <c r="W1249" s="203"/>
      <c r="X1249" s="203"/>
    </row>
    <row r="1250" spans="1:24" ht="15" x14ac:dyDescent="0.2">
      <c r="A1250" s="751" t="s">
        <v>2006</v>
      </c>
      <c r="B1250" s="516" t="s">
        <v>98</v>
      </c>
      <c r="C1250" s="517" t="s">
        <v>605</v>
      </c>
      <c r="D1250" s="517" t="s">
        <v>608</v>
      </c>
      <c r="E1250" s="699">
        <v>9990023680</v>
      </c>
      <c r="F1250" s="699">
        <v>111</v>
      </c>
      <c r="G1250" s="519"/>
      <c r="H1250" s="519"/>
      <c r="I1250" s="519">
        <v>735.20860000000005</v>
      </c>
      <c r="J1250" s="519"/>
      <c r="K1250" s="43">
        <f t="shared" si="408"/>
        <v>735.20860000000005</v>
      </c>
      <c r="L1250" s="43">
        <f t="shared" si="409"/>
        <v>0</v>
      </c>
      <c r="M1250" s="217"/>
      <c r="N1250" s="42"/>
      <c r="R1250" s="591"/>
      <c r="S1250" s="591"/>
      <c r="T1250" s="217"/>
      <c r="U1250" s="591"/>
      <c r="V1250" s="591"/>
      <c r="W1250" s="203"/>
      <c r="X1250" s="203"/>
    </row>
    <row r="1251" spans="1:24" ht="25.5" x14ac:dyDescent="0.2">
      <c r="A1251" s="751" t="s">
        <v>2007</v>
      </c>
      <c r="B1251" s="516" t="s">
        <v>98</v>
      </c>
      <c r="C1251" s="517" t="s">
        <v>605</v>
      </c>
      <c r="D1251" s="517" t="s">
        <v>608</v>
      </c>
      <c r="E1251" s="699">
        <v>9990023680</v>
      </c>
      <c r="F1251" s="699">
        <v>119</v>
      </c>
      <c r="G1251" s="519"/>
      <c r="H1251" s="519"/>
      <c r="I1251" s="519">
        <v>213.78946999999999</v>
      </c>
      <c r="J1251" s="519"/>
      <c r="K1251" s="43">
        <f t="shared" si="408"/>
        <v>213.78946999999999</v>
      </c>
      <c r="L1251" s="43">
        <f t="shared" si="409"/>
        <v>0</v>
      </c>
      <c r="M1251" s="217"/>
      <c r="N1251" s="42"/>
      <c r="R1251" s="591"/>
      <c r="S1251" s="591"/>
      <c r="T1251" s="217"/>
      <c r="U1251" s="591"/>
      <c r="V1251" s="591"/>
      <c r="W1251" s="203"/>
      <c r="X1251" s="203"/>
    </row>
    <row r="1252" spans="1:24" ht="25.5" customHeight="1" x14ac:dyDescent="0.2">
      <c r="A1252" s="746" t="s">
        <v>1414</v>
      </c>
      <c r="B1252" s="306" t="s">
        <v>98</v>
      </c>
      <c r="C1252" s="354" t="s">
        <v>605</v>
      </c>
      <c r="D1252" s="354" t="s">
        <v>608</v>
      </c>
      <c r="E1252" s="514">
        <v>9990055493</v>
      </c>
      <c r="F1252" s="514"/>
      <c r="G1252" s="591">
        <f>G1253+G1254</f>
        <v>0</v>
      </c>
      <c r="H1252" s="591">
        <f>H1253+H1254</f>
        <v>0</v>
      </c>
      <c r="I1252" s="591">
        <f>I1253+I1254</f>
        <v>461.6</v>
      </c>
      <c r="J1252" s="591">
        <f>J1253+J1254</f>
        <v>461.6</v>
      </c>
      <c r="K1252" s="591">
        <f t="shared" si="404"/>
        <v>461.6</v>
      </c>
      <c r="L1252" s="591">
        <f t="shared" si="405"/>
        <v>461.6</v>
      </c>
      <c r="M1252" s="217"/>
      <c r="N1252" s="42"/>
      <c r="R1252" s="591">
        <f>R1253+R1254</f>
        <v>929.346</v>
      </c>
      <c r="S1252" s="591">
        <f>S1253+S1254</f>
        <v>929.346</v>
      </c>
      <c r="T1252" s="217"/>
      <c r="U1252" s="498">
        <f>U1253+U1254</f>
        <v>759.25700000000006</v>
      </c>
      <c r="V1252" s="526">
        <f>V1253+V1254</f>
        <v>759.25700000000006</v>
      </c>
      <c r="W1252" s="203"/>
      <c r="X1252" s="203"/>
    </row>
    <row r="1253" spans="1:24" ht="17.25" customHeight="1" x14ac:dyDescent="0.2">
      <c r="A1253" s="751" t="s">
        <v>529</v>
      </c>
      <c r="B1253" s="516" t="s">
        <v>98</v>
      </c>
      <c r="C1253" s="517" t="s">
        <v>605</v>
      </c>
      <c r="D1253" s="517" t="s">
        <v>608</v>
      </c>
      <c r="E1253" s="518">
        <v>9990055493</v>
      </c>
      <c r="F1253" s="518">
        <v>121</v>
      </c>
      <c r="G1253" s="519"/>
      <c r="H1253" s="519"/>
      <c r="I1253" s="519">
        <v>354.53149000000002</v>
      </c>
      <c r="J1253" s="519">
        <v>354.53149000000002</v>
      </c>
      <c r="K1253" s="43">
        <f t="shared" si="404"/>
        <v>354.53149000000002</v>
      </c>
      <c r="L1253" s="43">
        <f t="shared" si="405"/>
        <v>354.53149000000002</v>
      </c>
      <c r="M1253" s="217"/>
      <c r="N1253" s="42"/>
      <c r="R1253" s="519">
        <v>713.78341</v>
      </c>
      <c r="S1253" s="519">
        <v>713.78341</v>
      </c>
      <c r="T1253" s="217"/>
      <c r="U1253" s="519">
        <v>583.14670000000001</v>
      </c>
      <c r="V1253" s="519">
        <v>583.14670000000001</v>
      </c>
      <c r="W1253" s="203"/>
      <c r="X1253" s="203"/>
    </row>
    <row r="1254" spans="1:24" ht="36.75" customHeight="1" x14ac:dyDescent="0.2">
      <c r="A1254" s="751" t="s">
        <v>572</v>
      </c>
      <c r="B1254" s="516" t="s">
        <v>98</v>
      </c>
      <c r="C1254" s="517" t="s">
        <v>605</v>
      </c>
      <c r="D1254" s="517" t="s">
        <v>608</v>
      </c>
      <c r="E1254" s="518">
        <v>9990055493</v>
      </c>
      <c r="F1254" s="518">
        <v>129</v>
      </c>
      <c r="G1254" s="519"/>
      <c r="H1254" s="519"/>
      <c r="I1254" s="519">
        <v>107.06851</v>
      </c>
      <c r="J1254" s="519">
        <v>107.06851</v>
      </c>
      <c r="K1254" s="43">
        <f t="shared" si="404"/>
        <v>107.06851</v>
      </c>
      <c r="L1254" s="43">
        <f t="shared" si="405"/>
        <v>107.06851</v>
      </c>
      <c r="M1254" s="217"/>
      <c r="N1254" s="42"/>
      <c r="R1254" s="519">
        <v>215.56259</v>
      </c>
      <c r="S1254" s="519">
        <v>215.56259</v>
      </c>
      <c r="T1254" s="217"/>
      <c r="U1254" s="519">
        <v>176.1103</v>
      </c>
      <c r="V1254" s="519">
        <v>176.1103</v>
      </c>
      <c r="W1254" s="203"/>
      <c r="X1254" s="203"/>
    </row>
    <row r="1255" spans="1:24" ht="15" customHeight="1" x14ac:dyDescent="0.2">
      <c r="A1255" s="746" t="s">
        <v>1809</v>
      </c>
      <c r="B1255" s="306" t="s">
        <v>98</v>
      </c>
      <c r="C1255" s="354" t="s">
        <v>605</v>
      </c>
      <c r="D1255" s="354" t="s">
        <v>608</v>
      </c>
      <c r="E1255" s="622" t="s">
        <v>1165</v>
      </c>
      <c r="F1255" s="622"/>
      <c r="G1255" s="591">
        <f>G1256</f>
        <v>200</v>
      </c>
      <c r="H1255" s="591">
        <f>H1256</f>
        <v>0</v>
      </c>
      <c r="I1255" s="591">
        <f>I1256</f>
        <v>200</v>
      </c>
      <c r="J1255" s="591">
        <f>J1256</f>
        <v>0</v>
      </c>
      <c r="K1255" s="43">
        <f t="shared" si="404"/>
        <v>0</v>
      </c>
      <c r="L1255" s="43">
        <f t="shared" si="405"/>
        <v>0</v>
      </c>
      <c r="M1255" s="217"/>
      <c r="N1255" s="42"/>
      <c r="R1255" s="519"/>
      <c r="S1255" s="519"/>
      <c r="T1255" s="217"/>
      <c r="U1255" s="519"/>
      <c r="V1255" s="519"/>
      <c r="W1255" s="203"/>
      <c r="X1255" s="203"/>
    </row>
    <row r="1256" spans="1:24" ht="15" customHeight="1" x14ac:dyDescent="0.2">
      <c r="A1256" s="744" t="s">
        <v>529</v>
      </c>
      <c r="B1256" s="243" t="s">
        <v>98</v>
      </c>
      <c r="C1256" s="353" t="s">
        <v>605</v>
      </c>
      <c r="D1256" s="353" t="s">
        <v>608</v>
      </c>
      <c r="E1256" s="369" t="s">
        <v>1165</v>
      </c>
      <c r="F1256" s="369">
        <v>121</v>
      </c>
      <c r="G1256" s="288">
        <v>200</v>
      </c>
      <c r="H1256" s="288"/>
      <c r="I1256" s="288">
        <v>200</v>
      </c>
      <c r="J1256" s="288"/>
      <c r="K1256" s="43">
        <f t="shared" si="404"/>
        <v>0</v>
      </c>
      <c r="L1256" s="43">
        <f t="shared" si="405"/>
        <v>0</v>
      </c>
      <c r="M1256" s="217"/>
      <c r="N1256" s="42"/>
      <c r="R1256" s="519"/>
      <c r="S1256" s="519"/>
      <c r="T1256" s="217"/>
      <c r="U1256" s="519"/>
      <c r="V1256" s="519"/>
      <c r="W1256" s="203"/>
      <c r="X1256" s="203"/>
    </row>
    <row r="1257" spans="1:24" ht="15.75" customHeight="1" x14ac:dyDescent="0.2">
      <c r="A1257" s="746" t="s">
        <v>1810</v>
      </c>
      <c r="B1257" s="306" t="s">
        <v>98</v>
      </c>
      <c r="C1257" s="354" t="s">
        <v>605</v>
      </c>
      <c r="D1257" s="354" t="s">
        <v>608</v>
      </c>
      <c r="E1257" s="599">
        <v>9990082230</v>
      </c>
      <c r="F1257" s="599"/>
      <c r="G1257" s="591">
        <f>G1258+G1259</f>
        <v>2407.57141</v>
      </c>
      <c r="H1257" s="591">
        <f>H1258+H1259</f>
        <v>0</v>
      </c>
      <c r="I1257" s="591">
        <f>I1258+I1259</f>
        <v>1269.7234699999999</v>
      </c>
      <c r="J1257" s="591">
        <f>J1258+J1259</f>
        <v>0</v>
      </c>
      <c r="K1257" s="591">
        <f t="shared" si="404"/>
        <v>-1137.8479400000001</v>
      </c>
      <c r="L1257" s="591">
        <f t="shared" si="405"/>
        <v>0</v>
      </c>
      <c r="M1257" s="217"/>
      <c r="N1257" s="42"/>
      <c r="R1257" s="591">
        <f>R1258+R1259</f>
        <v>3205.0760099999998</v>
      </c>
      <c r="S1257" s="591">
        <f>S1258+S1259</f>
        <v>0</v>
      </c>
      <c r="T1257" s="217"/>
      <c r="U1257" s="519"/>
      <c r="V1257" s="519"/>
      <c r="W1257" s="203"/>
      <c r="X1257" s="203"/>
    </row>
    <row r="1258" spans="1:24" ht="15.75" customHeight="1" x14ac:dyDescent="0.2">
      <c r="A1258" s="744" t="s">
        <v>529</v>
      </c>
      <c r="B1258" s="243" t="s">
        <v>98</v>
      </c>
      <c r="C1258" s="353" t="s">
        <v>605</v>
      </c>
      <c r="D1258" s="353" t="s">
        <v>608</v>
      </c>
      <c r="E1258" s="369">
        <v>9990082230</v>
      </c>
      <c r="F1258" s="369">
        <v>121</v>
      </c>
      <c r="G1258" s="288">
        <v>1849.13294</v>
      </c>
      <c r="H1258" s="288"/>
      <c r="I1258" s="288">
        <v>975.20980999999995</v>
      </c>
      <c r="J1258" s="288"/>
      <c r="K1258" s="43">
        <f t="shared" si="404"/>
        <v>-873.92313000000001</v>
      </c>
      <c r="L1258" s="43">
        <f t="shared" si="405"/>
        <v>0</v>
      </c>
      <c r="M1258" s="217"/>
      <c r="N1258" s="42"/>
      <c r="R1258" s="288">
        <v>2461.6563200000001</v>
      </c>
      <c r="S1258" s="288"/>
      <c r="T1258" s="217"/>
      <c r="U1258" s="519"/>
      <c r="V1258" s="519"/>
      <c r="W1258" s="203"/>
      <c r="X1258" s="203"/>
    </row>
    <row r="1259" spans="1:24" ht="27" customHeight="1" x14ac:dyDescent="0.2">
      <c r="A1259" s="744" t="s">
        <v>572</v>
      </c>
      <c r="B1259" s="243" t="s">
        <v>98</v>
      </c>
      <c r="C1259" s="353" t="s">
        <v>605</v>
      </c>
      <c r="D1259" s="353" t="s">
        <v>608</v>
      </c>
      <c r="E1259" s="369">
        <v>9990082230</v>
      </c>
      <c r="F1259" s="369">
        <v>129</v>
      </c>
      <c r="G1259" s="615">
        <v>558.43847000000005</v>
      </c>
      <c r="H1259" s="288"/>
      <c r="I1259" s="615">
        <v>294.51366000000002</v>
      </c>
      <c r="J1259" s="288"/>
      <c r="K1259" s="43">
        <f t="shared" si="404"/>
        <v>-263.92481000000004</v>
      </c>
      <c r="L1259" s="43">
        <f t="shared" si="405"/>
        <v>0</v>
      </c>
      <c r="M1259" s="217"/>
      <c r="N1259" s="42"/>
      <c r="R1259" s="615">
        <v>743.41968999999995</v>
      </c>
      <c r="S1259" s="288"/>
      <c r="T1259" s="217"/>
      <c r="U1259" s="519"/>
      <c r="V1259" s="519"/>
      <c r="W1259" s="203"/>
      <c r="X1259" s="203"/>
    </row>
    <row r="1260" spans="1:24" ht="15" x14ac:dyDescent="0.2">
      <c r="A1260" s="746" t="s">
        <v>643</v>
      </c>
      <c r="B1260" s="306" t="s">
        <v>98</v>
      </c>
      <c r="C1260" s="354" t="s">
        <v>605</v>
      </c>
      <c r="D1260" s="354" t="s">
        <v>608</v>
      </c>
      <c r="E1260" s="450" t="s">
        <v>522</v>
      </c>
      <c r="F1260" s="450"/>
      <c r="G1260" s="591">
        <f>SUM(G1261:G1269)</f>
        <v>5076.1990000000005</v>
      </c>
      <c r="H1260" s="591">
        <f>SUM(H1261:H1269)</f>
        <v>0</v>
      </c>
      <c r="I1260" s="591">
        <f>SUM(I1261:I1269)</f>
        <v>2968.8516999999997</v>
      </c>
      <c r="J1260" s="591">
        <f>SUM(J1261:J1269)</f>
        <v>0</v>
      </c>
      <c r="K1260" s="591">
        <f t="shared" si="404"/>
        <v>-2107.3473000000008</v>
      </c>
      <c r="L1260" s="591">
        <f t="shared" si="405"/>
        <v>0</v>
      </c>
      <c r="M1260" s="217">
        <f t="shared" si="378"/>
        <v>0</v>
      </c>
      <c r="N1260" s="42">
        <f>SUM(N1261:N1269)</f>
        <v>10232.611999999999</v>
      </c>
      <c r="P1260" s="166">
        <f>G1262+G1264+G1265+G1269</f>
        <v>299.19934000000001</v>
      </c>
      <c r="R1260" s="591">
        <f>SUM(R1261:R1269)</f>
        <v>5698.9373799999994</v>
      </c>
      <c r="S1260" s="591">
        <f>SUM(S1261:S1269)</f>
        <v>0</v>
      </c>
      <c r="T1260" s="217">
        <f t="shared" si="406"/>
        <v>-2107.3473000000008</v>
      </c>
      <c r="U1260" s="498">
        <f>SUM(U1261:U1269)</f>
        <v>8928.205899999999</v>
      </c>
      <c r="V1260" s="498">
        <f>SUM(V1261:V1269)</f>
        <v>0</v>
      </c>
      <c r="W1260" s="203">
        <f t="shared" si="374"/>
        <v>2107.3473000000008</v>
      </c>
      <c r="X1260" s="203">
        <f t="shared" si="375"/>
        <v>0</v>
      </c>
    </row>
    <row r="1261" spans="1:24" ht="15" x14ac:dyDescent="0.2">
      <c r="A1261" s="739" t="s">
        <v>523</v>
      </c>
      <c r="B1261" s="243" t="s">
        <v>98</v>
      </c>
      <c r="C1261" s="353" t="s">
        <v>605</v>
      </c>
      <c r="D1261" s="353" t="s">
        <v>608</v>
      </c>
      <c r="E1261" s="369" t="s">
        <v>522</v>
      </c>
      <c r="F1261" s="369" t="s">
        <v>129</v>
      </c>
      <c r="G1261" s="288">
        <v>3668.9703300000001</v>
      </c>
      <c r="H1261" s="288"/>
      <c r="I1261" s="288">
        <v>2118.3119799999999</v>
      </c>
      <c r="J1261" s="288"/>
      <c r="K1261" s="43">
        <f t="shared" si="404"/>
        <v>-1550.6583500000002</v>
      </c>
      <c r="L1261" s="43">
        <f t="shared" si="405"/>
        <v>0</v>
      </c>
      <c r="M1261" s="217">
        <f t="shared" si="378"/>
        <v>0</v>
      </c>
      <c r="N1261" s="43">
        <v>7480.2619999999997</v>
      </c>
      <c r="P1261" s="43">
        <v>7801.16</v>
      </c>
      <c r="Q1261" s="258"/>
      <c r="R1261" s="288">
        <v>3984.3688699999998</v>
      </c>
      <c r="S1261" s="288"/>
      <c r="T1261" s="217">
        <f t="shared" si="406"/>
        <v>-1550.6583500000002</v>
      </c>
      <c r="U1261" s="288">
        <v>6500.7889999999998</v>
      </c>
      <c r="V1261" s="288">
        <v>0</v>
      </c>
      <c r="W1261" s="203">
        <f t="shared" si="374"/>
        <v>1550.6583500000002</v>
      </c>
      <c r="X1261" s="203">
        <f t="shared" si="375"/>
        <v>0</v>
      </c>
    </row>
    <row r="1262" spans="1:24" ht="15" x14ac:dyDescent="0.2">
      <c r="A1262" s="739" t="s">
        <v>191</v>
      </c>
      <c r="B1262" s="243" t="s">
        <v>98</v>
      </c>
      <c r="C1262" s="353" t="s">
        <v>605</v>
      </c>
      <c r="D1262" s="353" t="s">
        <v>608</v>
      </c>
      <c r="E1262" s="369" t="s">
        <v>522</v>
      </c>
      <c r="F1262" s="369" t="s">
        <v>636</v>
      </c>
      <c r="G1262" s="288">
        <v>185</v>
      </c>
      <c r="H1262" s="288"/>
      <c r="I1262" s="288">
        <v>247.5</v>
      </c>
      <c r="J1262" s="288"/>
      <c r="K1262" s="43">
        <f t="shared" si="404"/>
        <v>62.5</v>
      </c>
      <c r="L1262" s="43">
        <f t="shared" si="405"/>
        <v>0</v>
      </c>
      <c r="M1262" s="217">
        <f t="shared" si="378"/>
        <v>0</v>
      </c>
      <c r="N1262" s="43">
        <v>45</v>
      </c>
      <c r="P1262" s="43">
        <v>60</v>
      </c>
      <c r="Q1262" s="258"/>
      <c r="R1262" s="288">
        <v>226.71698000000001</v>
      </c>
      <c r="S1262" s="288"/>
      <c r="T1262" s="217">
        <f t="shared" si="406"/>
        <v>62.5</v>
      </c>
      <c r="U1262" s="288">
        <v>89.513000000000005</v>
      </c>
      <c r="V1262" s="288">
        <v>0</v>
      </c>
      <c r="W1262" s="203">
        <f t="shared" si="374"/>
        <v>-62.5</v>
      </c>
      <c r="X1262" s="203">
        <f t="shared" si="375"/>
        <v>0</v>
      </c>
    </row>
    <row r="1263" spans="1:24" ht="25.5" x14ac:dyDescent="0.2">
      <c r="A1263" s="739" t="s">
        <v>572</v>
      </c>
      <c r="B1263" s="243" t="s">
        <v>98</v>
      </c>
      <c r="C1263" s="353" t="s">
        <v>605</v>
      </c>
      <c r="D1263" s="353" t="s">
        <v>608</v>
      </c>
      <c r="E1263" s="369" t="s">
        <v>522</v>
      </c>
      <c r="F1263" s="369" t="s">
        <v>524</v>
      </c>
      <c r="G1263" s="288">
        <v>1108.0293300000001</v>
      </c>
      <c r="H1263" s="288"/>
      <c r="I1263" s="288">
        <v>488.84037999999998</v>
      </c>
      <c r="J1263" s="288"/>
      <c r="K1263" s="43">
        <f t="shared" si="404"/>
        <v>-619.18895000000009</v>
      </c>
      <c r="L1263" s="43">
        <f t="shared" si="405"/>
        <v>0</v>
      </c>
      <c r="M1263" s="217">
        <f t="shared" si="378"/>
        <v>0</v>
      </c>
      <c r="N1263" s="43">
        <v>2341.3000000000002</v>
      </c>
      <c r="P1263" s="43">
        <v>2384.5</v>
      </c>
      <c r="Q1263" s="258"/>
      <c r="R1263" s="288">
        <v>1149.9160899999999</v>
      </c>
      <c r="S1263" s="288"/>
      <c r="T1263" s="217">
        <f t="shared" si="406"/>
        <v>-619.18895000000009</v>
      </c>
      <c r="U1263" s="288">
        <v>1963.24</v>
      </c>
      <c r="V1263" s="288">
        <v>0</v>
      </c>
      <c r="W1263" s="203">
        <f t="shared" si="374"/>
        <v>619.18895000000009</v>
      </c>
      <c r="X1263" s="203">
        <f t="shared" si="375"/>
        <v>0</v>
      </c>
    </row>
    <row r="1264" spans="1:24" ht="15" x14ac:dyDescent="0.2">
      <c r="A1264" s="739" t="s">
        <v>233</v>
      </c>
      <c r="B1264" s="243" t="s">
        <v>98</v>
      </c>
      <c r="C1264" s="353" t="s">
        <v>605</v>
      </c>
      <c r="D1264" s="353" t="s">
        <v>608</v>
      </c>
      <c r="E1264" s="369" t="s">
        <v>522</v>
      </c>
      <c r="F1264" s="369" t="s">
        <v>635</v>
      </c>
      <c r="G1264" s="288">
        <v>105.52573</v>
      </c>
      <c r="H1264" s="288"/>
      <c r="I1264" s="288">
        <v>105.52573</v>
      </c>
      <c r="J1264" s="288"/>
      <c r="K1264" s="43">
        <f t="shared" si="404"/>
        <v>0</v>
      </c>
      <c r="L1264" s="43">
        <f t="shared" si="405"/>
        <v>0</v>
      </c>
      <c r="M1264" s="217">
        <f t="shared" si="378"/>
        <v>0</v>
      </c>
      <c r="N1264" s="43">
        <v>208.21899999999999</v>
      </c>
      <c r="P1264" s="43">
        <v>181.5</v>
      </c>
      <c r="Q1264" s="258"/>
      <c r="R1264" s="288">
        <v>87.484350000000006</v>
      </c>
      <c r="S1264" s="288"/>
      <c r="T1264" s="217">
        <f t="shared" si="406"/>
        <v>0</v>
      </c>
      <c r="U1264" s="288">
        <v>121.58197</v>
      </c>
      <c r="V1264" s="288">
        <v>0</v>
      </c>
      <c r="W1264" s="203">
        <f t="shared" si="374"/>
        <v>0</v>
      </c>
      <c r="X1264" s="203">
        <f t="shared" si="375"/>
        <v>0</v>
      </c>
    </row>
    <row r="1265" spans="1:24" ht="15" hidden="1" x14ac:dyDescent="0.2">
      <c r="A1265" s="124" t="s">
        <v>834</v>
      </c>
      <c r="B1265" s="243" t="s">
        <v>98</v>
      </c>
      <c r="C1265" s="353" t="s">
        <v>605</v>
      </c>
      <c r="D1265" s="353" t="s">
        <v>608</v>
      </c>
      <c r="E1265" s="369" t="s">
        <v>522</v>
      </c>
      <c r="F1265" s="369" t="s">
        <v>634</v>
      </c>
      <c r="G1265" s="288">
        <v>0</v>
      </c>
      <c r="H1265" s="288"/>
      <c r="I1265" s="288">
        <v>0</v>
      </c>
      <c r="J1265" s="288"/>
      <c r="K1265" s="43">
        <f t="shared" si="404"/>
        <v>0</v>
      </c>
      <c r="L1265" s="43">
        <f t="shared" si="405"/>
        <v>0</v>
      </c>
      <c r="M1265" s="217">
        <f t="shared" si="378"/>
        <v>0</v>
      </c>
      <c r="N1265" s="43">
        <v>98.6</v>
      </c>
      <c r="P1265" s="43">
        <v>95.817999999999998</v>
      </c>
      <c r="Q1265" s="258"/>
      <c r="R1265" s="288">
        <v>58.777459999999998</v>
      </c>
      <c r="S1265" s="288"/>
      <c r="T1265" s="217">
        <f t="shared" si="406"/>
        <v>0</v>
      </c>
      <c r="U1265" s="288">
        <v>174.08193</v>
      </c>
      <c r="V1265" s="288">
        <v>0</v>
      </c>
      <c r="W1265" s="203">
        <f t="shared" si="374"/>
        <v>0</v>
      </c>
      <c r="X1265" s="203">
        <f t="shared" si="375"/>
        <v>0</v>
      </c>
    </row>
    <row r="1266" spans="1:24" ht="12" hidden="1" customHeight="1" x14ac:dyDescent="0.2">
      <c r="A1266" s="124" t="s">
        <v>1140</v>
      </c>
      <c r="B1266" s="243" t="s">
        <v>98</v>
      </c>
      <c r="C1266" s="353" t="s">
        <v>605</v>
      </c>
      <c r="D1266" s="353" t="s">
        <v>608</v>
      </c>
      <c r="E1266" s="369" t="s">
        <v>522</v>
      </c>
      <c r="F1266" s="369" t="s">
        <v>1139</v>
      </c>
      <c r="G1266" s="288"/>
      <c r="H1266" s="288"/>
      <c r="I1266" s="288"/>
      <c r="J1266" s="288"/>
      <c r="K1266" s="43">
        <f t="shared" si="404"/>
        <v>0</v>
      </c>
      <c r="L1266" s="43">
        <f t="shared" si="405"/>
        <v>0</v>
      </c>
      <c r="M1266" s="217">
        <f t="shared" si="378"/>
        <v>0</v>
      </c>
      <c r="N1266" s="43"/>
      <c r="P1266" s="43"/>
      <c r="Q1266" s="258"/>
      <c r="R1266" s="288"/>
      <c r="S1266" s="288"/>
      <c r="T1266" s="217">
        <f t="shared" si="406"/>
        <v>0</v>
      </c>
      <c r="U1266" s="288">
        <v>0</v>
      </c>
      <c r="V1266" s="288"/>
      <c r="W1266" s="203">
        <f t="shared" si="374"/>
        <v>0</v>
      </c>
      <c r="X1266" s="203">
        <f t="shared" si="375"/>
        <v>0</v>
      </c>
    </row>
    <row r="1267" spans="1:24" ht="12" hidden="1" customHeight="1" x14ac:dyDescent="0.2">
      <c r="A1267" s="124" t="s">
        <v>290</v>
      </c>
      <c r="B1267" s="243" t="s">
        <v>98</v>
      </c>
      <c r="C1267" s="353" t="s">
        <v>605</v>
      </c>
      <c r="D1267" s="353" t="s">
        <v>608</v>
      </c>
      <c r="E1267" s="369" t="s">
        <v>522</v>
      </c>
      <c r="F1267" s="369" t="s">
        <v>289</v>
      </c>
      <c r="G1267" s="288"/>
      <c r="H1267" s="288"/>
      <c r="I1267" s="288"/>
      <c r="J1267" s="288"/>
      <c r="K1267" s="43">
        <f t="shared" si="404"/>
        <v>0</v>
      </c>
      <c r="L1267" s="43">
        <f t="shared" si="405"/>
        <v>0</v>
      </c>
      <c r="M1267" s="217">
        <f t="shared" si="378"/>
        <v>0</v>
      </c>
      <c r="N1267" s="43">
        <v>0.6</v>
      </c>
      <c r="P1267" s="43">
        <v>6.1</v>
      </c>
      <c r="Q1267" s="258"/>
      <c r="R1267" s="288"/>
      <c r="S1267" s="288"/>
      <c r="T1267" s="217">
        <f>I1267-G1267</f>
        <v>0</v>
      </c>
      <c r="U1267" s="288"/>
      <c r="V1267" s="288"/>
      <c r="W1267" s="203">
        <f t="shared" si="374"/>
        <v>0</v>
      </c>
      <c r="X1267" s="203">
        <f t="shared" si="375"/>
        <v>0</v>
      </c>
    </row>
    <row r="1268" spans="1:24" ht="12" hidden="1" customHeight="1" x14ac:dyDescent="0.2">
      <c r="A1268" s="124" t="s">
        <v>837</v>
      </c>
      <c r="B1268" s="243" t="s">
        <v>98</v>
      </c>
      <c r="C1268" s="353" t="s">
        <v>605</v>
      </c>
      <c r="D1268" s="353" t="s">
        <v>608</v>
      </c>
      <c r="E1268" s="369" t="s">
        <v>522</v>
      </c>
      <c r="F1268" s="369" t="s">
        <v>231</v>
      </c>
      <c r="G1268" s="288"/>
      <c r="H1268" s="288"/>
      <c r="I1268" s="288"/>
      <c r="J1268" s="288"/>
      <c r="K1268" s="43">
        <f t="shared" si="404"/>
        <v>0</v>
      </c>
      <c r="L1268" s="43">
        <f t="shared" si="405"/>
        <v>0</v>
      </c>
      <c r="M1268" s="217">
        <f t="shared" si="378"/>
        <v>0</v>
      </c>
      <c r="N1268" s="43">
        <v>4.8310000000000004</v>
      </c>
      <c r="P1268" s="43"/>
      <c r="Q1268" s="258"/>
      <c r="R1268" s="288"/>
      <c r="S1268" s="288"/>
      <c r="T1268" s="217">
        <f>I1268-G1268</f>
        <v>0</v>
      </c>
      <c r="U1268" s="288"/>
      <c r="V1268" s="288"/>
      <c r="W1268" s="203">
        <f t="shared" si="374"/>
        <v>0</v>
      </c>
      <c r="X1268" s="203">
        <f t="shared" si="375"/>
        <v>0</v>
      </c>
    </row>
    <row r="1269" spans="1:24" ht="15" x14ac:dyDescent="0.2">
      <c r="A1269" s="739" t="s">
        <v>303</v>
      </c>
      <c r="B1269" s="243" t="s">
        <v>98</v>
      </c>
      <c r="C1269" s="353" t="s">
        <v>605</v>
      </c>
      <c r="D1269" s="353" t="s">
        <v>608</v>
      </c>
      <c r="E1269" s="369" t="s">
        <v>522</v>
      </c>
      <c r="F1269" s="369" t="s">
        <v>302</v>
      </c>
      <c r="G1269" s="288">
        <v>8.67361</v>
      </c>
      <c r="H1269" s="288"/>
      <c r="I1269" s="288">
        <v>8.67361</v>
      </c>
      <c r="J1269" s="288"/>
      <c r="K1269" s="43">
        <f t="shared" si="404"/>
        <v>0</v>
      </c>
      <c r="L1269" s="43">
        <f t="shared" si="405"/>
        <v>0</v>
      </c>
      <c r="M1269" s="217">
        <f t="shared" si="378"/>
        <v>0</v>
      </c>
      <c r="N1269" s="43">
        <v>53.8</v>
      </c>
      <c r="P1269" s="43">
        <v>22.873000000000001</v>
      </c>
      <c r="Q1269" s="258"/>
      <c r="R1269" s="288">
        <v>191.67363</v>
      </c>
      <c r="S1269" s="288"/>
      <c r="T1269" s="217">
        <f>I1269-G1269</f>
        <v>0</v>
      </c>
      <c r="U1269" s="288">
        <v>79</v>
      </c>
      <c r="V1269" s="288">
        <v>0</v>
      </c>
      <c r="W1269" s="203">
        <f t="shared" si="374"/>
        <v>0</v>
      </c>
      <c r="X1269" s="203">
        <f t="shared" si="375"/>
        <v>0</v>
      </c>
    </row>
    <row r="1270" spans="1:24" ht="15" x14ac:dyDescent="0.2">
      <c r="A1270" s="746" t="s">
        <v>1383</v>
      </c>
      <c r="B1270" s="306" t="s">
        <v>98</v>
      </c>
      <c r="C1270" s="354" t="s">
        <v>605</v>
      </c>
      <c r="D1270" s="354" t="s">
        <v>608</v>
      </c>
      <c r="E1270" s="642" t="s">
        <v>1268</v>
      </c>
      <c r="F1270" s="640"/>
      <c r="G1270" s="591">
        <f>G1271+G1272</f>
        <v>7894.02</v>
      </c>
      <c r="H1270" s="591">
        <f>H1271+H1272</f>
        <v>0</v>
      </c>
      <c r="I1270" s="591">
        <f>I1271+I1272</f>
        <v>8375.7199999999993</v>
      </c>
      <c r="J1270" s="591">
        <f>J1271+J1272</f>
        <v>0</v>
      </c>
      <c r="K1270" s="591">
        <f t="shared" si="404"/>
        <v>481.69999999999891</v>
      </c>
      <c r="L1270" s="591">
        <f t="shared" si="405"/>
        <v>0</v>
      </c>
      <c r="M1270" s="217"/>
      <c r="N1270" s="43"/>
      <c r="P1270" s="258"/>
      <c r="Q1270" s="258"/>
      <c r="R1270" s="288"/>
      <c r="S1270" s="288"/>
      <c r="T1270" s="217"/>
      <c r="U1270" s="288"/>
      <c r="V1270" s="288"/>
      <c r="W1270" s="203"/>
      <c r="X1270" s="203"/>
    </row>
    <row r="1271" spans="1:24" ht="15" x14ac:dyDescent="0.2">
      <c r="A1271" s="739" t="s">
        <v>523</v>
      </c>
      <c r="B1271" s="243" t="s">
        <v>98</v>
      </c>
      <c r="C1271" s="353" t="s">
        <v>605</v>
      </c>
      <c r="D1271" s="353" t="s">
        <v>608</v>
      </c>
      <c r="E1271" s="369" t="s">
        <v>1268</v>
      </c>
      <c r="F1271" s="369" t="s">
        <v>129</v>
      </c>
      <c r="G1271" s="288">
        <v>6062.9949999999999</v>
      </c>
      <c r="H1271" s="288"/>
      <c r="I1271" s="288">
        <v>6432.9949999999999</v>
      </c>
      <c r="J1271" s="288"/>
      <c r="K1271" s="43">
        <f t="shared" si="404"/>
        <v>370</v>
      </c>
      <c r="L1271" s="43">
        <f t="shared" si="405"/>
        <v>0</v>
      </c>
      <c r="M1271" s="217"/>
      <c r="N1271" s="43"/>
      <c r="P1271" s="258"/>
      <c r="Q1271" s="258"/>
      <c r="R1271" s="288"/>
      <c r="S1271" s="288"/>
      <c r="T1271" s="217"/>
      <c r="U1271" s="288"/>
      <c r="V1271" s="288"/>
      <c r="W1271" s="203"/>
      <c r="X1271" s="203"/>
    </row>
    <row r="1272" spans="1:24" ht="25.5" x14ac:dyDescent="0.2">
      <c r="A1272" s="739" t="s">
        <v>572</v>
      </c>
      <c r="B1272" s="243" t="s">
        <v>98</v>
      </c>
      <c r="C1272" s="353" t="s">
        <v>605</v>
      </c>
      <c r="D1272" s="353" t="s">
        <v>608</v>
      </c>
      <c r="E1272" s="369" t="s">
        <v>1268</v>
      </c>
      <c r="F1272" s="369" t="s">
        <v>524</v>
      </c>
      <c r="G1272" s="288">
        <v>1831.0250000000001</v>
      </c>
      <c r="H1272" s="288"/>
      <c r="I1272" s="288">
        <v>1942.7249999999999</v>
      </c>
      <c r="J1272" s="288"/>
      <c r="K1272" s="43">
        <f t="shared" si="404"/>
        <v>111.69999999999982</v>
      </c>
      <c r="L1272" s="43">
        <f t="shared" si="405"/>
        <v>0</v>
      </c>
      <c r="M1272" s="217"/>
      <c r="N1272" s="43"/>
      <c r="P1272" s="258"/>
      <c r="Q1272" s="258"/>
      <c r="R1272" s="288"/>
      <c r="S1272" s="288"/>
      <c r="T1272" s="217"/>
      <c r="U1272" s="288"/>
      <c r="V1272" s="288"/>
      <c r="W1272" s="203"/>
      <c r="X1272" s="203"/>
    </row>
    <row r="1273" spans="1:24" ht="15" x14ac:dyDescent="0.2">
      <c r="A1273" s="746" t="s">
        <v>1050</v>
      </c>
      <c r="B1273" s="306" t="s">
        <v>98</v>
      </c>
      <c r="C1273" s="354" t="s">
        <v>605</v>
      </c>
      <c r="D1273" s="354" t="s">
        <v>608</v>
      </c>
      <c r="E1273" s="719" t="s">
        <v>2003</v>
      </c>
      <c r="F1273" s="450"/>
      <c r="G1273" s="591">
        <f>SUM(G1274:G1277)</f>
        <v>0</v>
      </c>
      <c r="H1273" s="591">
        <f t="shared" ref="H1273:L1273" si="410">SUM(H1274:H1277)</f>
        <v>0</v>
      </c>
      <c r="I1273" s="591">
        <f t="shared" si="410"/>
        <v>5678.4826300000004</v>
      </c>
      <c r="J1273" s="591">
        <f t="shared" si="410"/>
        <v>0</v>
      </c>
      <c r="K1273" s="591">
        <f t="shared" si="410"/>
        <v>5678.4826300000004</v>
      </c>
      <c r="L1273" s="591">
        <f t="shared" si="410"/>
        <v>0</v>
      </c>
      <c r="M1273" s="217">
        <f t="shared" si="378"/>
        <v>0</v>
      </c>
      <c r="N1273" s="43"/>
      <c r="P1273" s="258"/>
      <c r="Q1273" s="258"/>
      <c r="R1273" s="591">
        <f>R1276+R1277</f>
        <v>6031.5829999999996</v>
      </c>
      <c r="S1273" s="591">
        <f>S1276+S1277</f>
        <v>0</v>
      </c>
      <c r="T1273" s="217"/>
      <c r="U1273" s="498">
        <f>U1276+U1277</f>
        <v>1619.3980000000001</v>
      </c>
      <c r="V1273" s="498">
        <f>V1276+V1277</f>
        <v>0</v>
      </c>
      <c r="W1273" s="203">
        <f t="shared" si="374"/>
        <v>-5678.4826300000004</v>
      </c>
      <c r="X1273" s="203">
        <f t="shared" si="375"/>
        <v>0</v>
      </c>
    </row>
    <row r="1274" spans="1:24" ht="15" x14ac:dyDescent="0.2">
      <c r="A1274" s="739" t="s">
        <v>2006</v>
      </c>
      <c r="B1274" s="243" t="s">
        <v>98</v>
      </c>
      <c r="C1274" s="353" t="s">
        <v>605</v>
      </c>
      <c r="D1274" s="353" t="s">
        <v>608</v>
      </c>
      <c r="E1274" s="369" t="s">
        <v>2003</v>
      </c>
      <c r="F1274" s="369">
        <v>111</v>
      </c>
      <c r="G1274" s="288"/>
      <c r="H1274" s="288"/>
      <c r="I1274" s="288">
        <v>207.19200000000001</v>
      </c>
      <c r="J1274" s="288"/>
      <c r="K1274" s="43">
        <f t="shared" ref="K1274:K1275" si="411">I1274-G1274</f>
        <v>207.19200000000001</v>
      </c>
      <c r="L1274" s="43">
        <f t="shared" ref="L1274:L1275" si="412">J1274-H1274</f>
        <v>0</v>
      </c>
      <c r="M1274" s="217"/>
      <c r="N1274" s="43"/>
      <c r="P1274" s="258"/>
      <c r="Q1274" s="258"/>
      <c r="R1274" s="591"/>
      <c r="S1274" s="591"/>
      <c r="T1274" s="217"/>
      <c r="U1274" s="591"/>
      <c r="V1274" s="591"/>
      <c r="W1274" s="203"/>
      <c r="X1274" s="203"/>
    </row>
    <row r="1275" spans="1:24" ht="25.5" x14ac:dyDescent="0.2">
      <c r="A1275" s="739" t="s">
        <v>2007</v>
      </c>
      <c r="B1275" s="243" t="s">
        <v>98</v>
      </c>
      <c r="C1275" s="353" t="s">
        <v>605</v>
      </c>
      <c r="D1275" s="353" t="s">
        <v>608</v>
      </c>
      <c r="E1275" s="369" t="s">
        <v>2003</v>
      </c>
      <c r="F1275" s="369">
        <v>119</v>
      </c>
      <c r="G1275" s="288"/>
      <c r="H1275" s="288"/>
      <c r="I1275" s="288">
        <v>59.521000000000001</v>
      </c>
      <c r="J1275" s="288"/>
      <c r="K1275" s="43">
        <f t="shared" si="411"/>
        <v>59.521000000000001</v>
      </c>
      <c r="L1275" s="43">
        <f t="shared" si="412"/>
        <v>0</v>
      </c>
      <c r="M1275" s="217"/>
      <c r="N1275" s="43"/>
      <c r="P1275" s="258"/>
      <c r="Q1275" s="258"/>
      <c r="R1275" s="591"/>
      <c r="S1275" s="591"/>
      <c r="T1275" s="217"/>
      <c r="U1275" s="591"/>
      <c r="V1275" s="591"/>
      <c r="W1275" s="203"/>
      <c r="X1275" s="203"/>
    </row>
    <row r="1276" spans="1:24" ht="15" x14ac:dyDescent="0.2">
      <c r="A1276" s="739" t="s">
        <v>523</v>
      </c>
      <c r="B1276" s="243" t="s">
        <v>98</v>
      </c>
      <c r="C1276" s="353" t="s">
        <v>605</v>
      </c>
      <c r="D1276" s="353" t="s">
        <v>608</v>
      </c>
      <c r="E1276" s="369" t="s">
        <v>2003</v>
      </c>
      <c r="F1276" s="369" t="s">
        <v>129</v>
      </c>
      <c r="G1276" s="288"/>
      <c r="H1276" s="288"/>
      <c r="I1276" s="288">
        <v>4038.2324400000002</v>
      </c>
      <c r="J1276" s="288"/>
      <c r="K1276" s="43">
        <f t="shared" si="404"/>
        <v>4038.2324400000002</v>
      </c>
      <c r="L1276" s="43">
        <f t="shared" si="405"/>
        <v>0</v>
      </c>
      <c r="M1276" s="217">
        <f t="shared" si="378"/>
        <v>0</v>
      </c>
      <c r="N1276" s="43"/>
      <c r="P1276" s="258"/>
      <c r="Q1276" s="258"/>
      <c r="R1276" s="288">
        <v>4632.5519999999997</v>
      </c>
      <c r="S1276" s="288"/>
      <c r="T1276" s="217"/>
      <c r="U1276" s="288">
        <v>1179.6590000000001</v>
      </c>
      <c r="V1276" s="288"/>
      <c r="W1276" s="203">
        <f t="shared" si="374"/>
        <v>-4038.2324400000002</v>
      </c>
      <c r="X1276" s="203">
        <f t="shared" si="375"/>
        <v>0</v>
      </c>
    </row>
    <row r="1277" spans="1:24" ht="25.5" x14ac:dyDescent="0.2">
      <c r="A1277" s="739" t="s">
        <v>572</v>
      </c>
      <c r="B1277" s="243" t="s">
        <v>98</v>
      </c>
      <c r="C1277" s="353" t="s">
        <v>605</v>
      </c>
      <c r="D1277" s="353" t="s">
        <v>608</v>
      </c>
      <c r="E1277" s="369" t="s">
        <v>2003</v>
      </c>
      <c r="F1277" s="369" t="s">
        <v>524</v>
      </c>
      <c r="G1277" s="288"/>
      <c r="H1277" s="288"/>
      <c r="I1277" s="288">
        <v>1373.53719</v>
      </c>
      <c r="J1277" s="288"/>
      <c r="K1277" s="43">
        <f t="shared" si="404"/>
        <v>1373.53719</v>
      </c>
      <c r="L1277" s="43">
        <f t="shared" si="405"/>
        <v>0</v>
      </c>
      <c r="M1277" s="217">
        <f t="shared" si="378"/>
        <v>0</v>
      </c>
      <c r="N1277" s="43"/>
      <c r="P1277" s="258"/>
      <c r="Q1277" s="258"/>
      <c r="R1277" s="288">
        <v>1399.0309999999999</v>
      </c>
      <c r="S1277" s="288"/>
      <c r="T1277" s="217"/>
      <c r="U1277" s="288">
        <v>439.73899999999998</v>
      </c>
      <c r="V1277" s="288"/>
      <c r="W1277" s="203">
        <f t="shared" si="374"/>
        <v>-1373.53719</v>
      </c>
      <c r="X1277" s="203">
        <f t="shared" si="375"/>
        <v>0</v>
      </c>
    </row>
    <row r="1278" spans="1:24" s="176" customFormat="1" ht="15" x14ac:dyDescent="0.2">
      <c r="A1278" s="746" t="s">
        <v>96</v>
      </c>
      <c r="B1278" s="306" t="s">
        <v>98</v>
      </c>
      <c r="C1278" s="354" t="s">
        <v>605</v>
      </c>
      <c r="D1278" s="354" t="s">
        <v>609</v>
      </c>
      <c r="E1278" s="450"/>
      <c r="F1278" s="450"/>
      <c r="G1278" s="591">
        <f t="shared" ref="G1278:J1280" si="413">G1279</f>
        <v>11.7</v>
      </c>
      <c r="H1278" s="591">
        <f t="shared" si="413"/>
        <v>11.7</v>
      </c>
      <c r="I1278" s="591">
        <f t="shared" si="413"/>
        <v>11.7</v>
      </c>
      <c r="J1278" s="591">
        <f t="shared" si="413"/>
        <v>11.7</v>
      </c>
      <c r="K1278" s="591">
        <f t="shared" si="404"/>
        <v>0</v>
      </c>
      <c r="L1278" s="591">
        <f t="shared" si="405"/>
        <v>0</v>
      </c>
      <c r="M1278" s="217">
        <f t="shared" ref="M1278:M1371" si="414">I1278-G1278-K1278</f>
        <v>0</v>
      </c>
      <c r="N1278" s="170">
        <f>N1279</f>
        <v>13</v>
      </c>
      <c r="R1278" s="591">
        <f>R1279</f>
        <v>105.79</v>
      </c>
      <c r="S1278" s="591">
        <f t="shared" ref="R1278:S1280" si="415">S1279</f>
        <v>105.79</v>
      </c>
      <c r="T1278" s="217">
        <f t="shared" ref="T1278:T1288" si="416">I1278-G1278</f>
        <v>0</v>
      </c>
      <c r="U1278" s="498">
        <f t="shared" ref="U1278:V1280" si="417">U1279</f>
        <v>7.3</v>
      </c>
      <c r="V1278" s="498">
        <f t="shared" si="417"/>
        <v>7.3</v>
      </c>
      <c r="W1278" s="203">
        <f t="shared" si="374"/>
        <v>0</v>
      </c>
      <c r="X1278" s="203">
        <f t="shared" si="375"/>
        <v>0</v>
      </c>
    </row>
    <row r="1279" spans="1:24" s="176" customFormat="1" ht="15" x14ac:dyDescent="0.2">
      <c r="A1279" s="746" t="s">
        <v>65</v>
      </c>
      <c r="B1279" s="306" t="s">
        <v>98</v>
      </c>
      <c r="C1279" s="354" t="s">
        <v>605</v>
      </c>
      <c r="D1279" s="354" t="s">
        <v>609</v>
      </c>
      <c r="E1279" s="450" t="s">
        <v>312</v>
      </c>
      <c r="F1279" s="450"/>
      <c r="G1279" s="591">
        <f t="shared" si="413"/>
        <v>11.7</v>
      </c>
      <c r="H1279" s="591">
        <f t="shared" si="413"/>
        <v>11.7</v>
      </c>
      <c r="I1279" s="591">
        <f t="shared" si="413"/>
        <v>11.7</v>
      </c>
      <c r="J1279" s="591">
        <f t="shared" si="413"/>
        <v>11.7</v>
      </c>
      <c r="K1279" s="591">
        <f t="shared" si="404"/>
        <v>0</v>
      </c>
      <c r="L1279" s="591">
        <f t="shared" si="405"/>
        <v>0</v>
      </c>
      <c r="M1279" s="217">
        <f t="shared" si="414"/>
        <v>0</v>
      </c>
      <c r="N1279" s="170">
        <f>N1280</f>
        <v>13</v>
      </c>
      <c r="R1279" s="591">
        <f t="shared" si="415"/>
        <v>105.79</v>
      </c>
      <c r="S1279" s="591">
        <f t="shared" si="415"/>
        <v>105.79</v>
      </c>
      <c r="T1279" s="217">
        <f t="shared" si="416"/>
        <v>0</v>
      </c>
      <c r="U1279" s="498">
        <f t="shared" si="417"/>
        <v>7.3</v>
      </c>
      <c r="V1279" s="498">
        <f t="shared" si="417"/>
        <v>7.3</v>
      </c>
      <c r="W1279" s="203">
        <f t="shared" si="374"/>
        <v>0</v>
      </c>
      <c r="X1279" s="203">
        <f t="shared" si="375"/>
        <v>0</v>
      </c>
    </row>
    <row r="1280" spans="1:24" s="176" customFormat="1" ht="25.5" x14ac:dyDescent="0.2">
      <c r="A1280" s="746" t="s">
        <v>70</v>
      </c>
      <c r="B1280" s="306" t="s">
        <v>98</v>
      </c>
      <c r="C1280" s="354" t="s">
        <v>605</v>
      </c>
      <c r="D1280" s="354" t="s">
        <v>609</v>
      </c>
      <c r="E1280" s="450" t="s">
        <v>313</v>
      </c>
      <c r="F1280" s="450"/>
      <c r="G1280" s="591">
        <f t="shared" si="413"/>
        <v>11.7</v>
      </c>
      <c r="H1280" s="591">
        <f t="shared" si="413"/>
        <v>11.7</v>
      </c>
      <c r="I1280" s="591">
        <f t="shared" si="413"/>
        <v>11.7</v>
      </c>
      <c r="J1280" s="591">
        <f t="shared" si="413"/>
        <v>11.7</v>
      </c>
      <c r="K1280" s="591">
        <f t="shared" si="404"/>
        <v>0</v>
      </c>
      <c r="L1280" s="591">
        <f t="shared" si="405"/>
        <v>0</v>
      </c>
      <c r="M1280" s="217">
        <f t="shared" si="414"/>
        <v>0</v>
      </c>
      <c r="N1280" s="170">
        <f>N1281</f>
        <v>13</v>
      </c>
      <c r="R1280" s="591">
        <f t="shared" si="415"/>
        <v>105.79</v>
      </c>
      <c r="S1280" s="591">
        <f t="shared" si="415"/>
        <v>105.79</v>
      </c>
      <c r="T1280" s="217">
        <f t="shared" si="416"/>
        <v>0</v>
      </c>
      <c r="U1280" s="498">
        <f t="shared" si="417"/>
        <v>7.3</v>
      </c>
      <c r="V1280" s="498">
        <f t="shared" si="417"/>
        <v>7.3</v>
      </c>
      <c r="W1280" s="203">
        <f t="shared" ref="W1280:W1288" si="418">G1280-I1280</f>
        <v>0</v>
      </c>
      <c r="X1280" s="203">
        <f t="shared" ref="X1280:X1288" si="419">K1280+W1280</f>
        <v>0</v>
      </c>
    </row>
    <row r="1281" spans="1:24" s="176" customFormat="1" ht="15" x14ac:dyDescent="0.2">
      <c r="A1281" s="739" t="s">
        <v>834</v>
      </c>
      <c r="B1281" s="243" t="s">
        <v>98</v>
      </c>
      <c r="C1281" s="353" t="s">
        <v>605</v>
      </c>
      <c r="D1281" s="353" t="s">
        <v>609</v>
      </c>
      <c r="E1281" s="369" t="s">
        <v>313</v>
      </c>
      <c r="F1281" s="369" t="s">
        <v>634</v>
      </c>
      <c r="G1281" s="288">
        <v>11.7</v>
      </c>
      <c r="H1281" s="265">
        <v>11.7</v>
      </c>
      <c r="I1281" s="288">
        <v>11.7</v>
      </c>
      <c r="J1281" s="265">
        <v>11.7</v>
      </c>
      <c r="K1281" s="43">
        <f t="shared" si="404"/>
        <v>0</v>
      </c>
      <c r="L1281" s="43">
        <f t="shared" si="405"/>
        <v>0</v>
      </c>
      <c r="M1281" s="217">
        <f t="shared" si="414"/>
        <v>0</v>
      </c>
      <c r="N1281" s="171">
        <v>13</v>
      </c>
      <c r="R1281" s="288">
        <v>105.79</v>
      </c>
      <c r="S1281" s="265">
        <v>105.79</v>
      </c>
      <c r="T1281" s="217">
        <f t="shared" si="416"/>
        <v>0</v>
      </c>
      <c r="U1281" s="288">
        <v>7.3</v>
      </c>
      <c r="V1281" s="265">
        <v>7.3</v>
      </c>
      <c r="W1281" s="203">
        <f t="shared" si="418"/>
        <v>0</v>
      </c>
      <c r="X1281" s="203">
        <f t="shared" si="419"/>
        <v>0</v>
      </c>
    </row>
    <row r="1282" spans="1:24" ht="12" customHeight="1" x14ac:dyDescent="0.2">
      <c r="A1282" s="746" t="s">
        <v>97</v>
      </c>
      <c r="B1282" s="306" t="s">
        <v>98</v>
      </c>
      <c r="C1282" s="354" t="s">
        <v>605</v>
      </c>
      <c r="D1282" s="354" t="s">
        <v>8</v>
      </c>
      <c r="E1282" s="450"/>
      <c r="F1282" s="450"/>
      <c r="G1282" s="591">
        <f>G1283</f>
        <v>654.73</v>
      </c>
      <c r="H1282" s="591">
        <f>H1283</f>
        <v>0</v>
      </c>
      <c r="I1282" s="591">
        <f>I1283</f>
        <v>654.73</v>
      </c>
      <c r="J1282" s="591">
        <f>J1283</f>
        <v>0</v>
      </c>
      <c r="K1282" s="591">
        <f t="shared" si="404"/>
        <v>0</v>
      </c>
      <c r="L1282" s="591">
        <f t="shared" si="405"/>
        <v>0</v>
      </c>
      <c r="M1282" s="217">
        <f t="shared" si="414"/>
        <v>0</v>
      </c>
      <c r="N1282" s="42">
        <f>N1283</f>
        <v>0</v>
      </c>
      <c r="R1282" s="591">
        <f>R1283</f>
        <v>0</v>
      </c>
      <c r="S1282" s="591">
        <f>S1283</f>
        <v>0</v>
      </c>
      <c r="T1282" s="217">
        <f t="shared" si="416"/>
        <v>0</v>
      </c>
      <c r="U1282" s="498">
        <f t="shared" ref="U1282:V1284" si="420">U1283</f>
        <v>220</v>
      </c>
      <c r="V1282" s="498">
        <f t="shared" si="420"/>
        <v>0</v>
      </c>
      <c r="W1282" s="203">
        <f t="shared" si="418"/>
        <v>0</v>
      </c>
      <c r="X1282" s="203">
        <f t="shared" si="419"/>
        <v>0</v>
      </c>
    </row>
    <row r="1283" spans="1:24" ht="12" customHeight="1" x14ac:dyDescent="0.2">
      <c r="A1283" s="746" t="s">
        <v>65</v>
      </c>
      <c r="B1283" s="306" t="s">
        <v>98</v>
      </c>
      <c r="C1283" s="354" t="s">
        <v>605</v>
      </c>
      <c r="D1283" s="354" t="s">
        <v>8</v>
      </c>
      <c r="E1283" s="450" t="s">
        <v>312</v>
      </c>
      <c r="F1283" s="450"/>
      <c r="G1283" s="591">
        <f>G1284+G1286</f>
        <v>654.73</v>
      </c>
      <c r="H1283" s="591">
        <f>H1284+H1286</f>
        <v>0</v>
      </c>
      <c r="I1283" s="591">
        <f>I1284+I1286</f>
        <v>654.73</v>
      </c>
      <c r="J1283" s="591">
        <f>J1284+J1286</f>
        <v>0</v>
      </c>
      <c r="K1283" s="591">
        <f t="shared" si="404"/>
        <v>0</v>
      </c>
      <c r="L1283" s="591">
        <f t="shared" si="405"/>
        <v>0</v>
      </c>
      <c r="M1283" s="217">
        <f t="shared" si="414"/>
        <v>0</v>
      </c>
      <c r="N1283" s="42">
        <f>N1284</f>
        <v>0</v>
      </c>
      <c r="R1283" s="591">
        <f>R1284+R1286</f>
        <v>0</v>
      </c>
      <c r="S1283" s="591">
        <f>S1284+S1286</f>
        <v>0</v>
      </c>
      <c r="T1283" s="217">
        <f t="shared" si="416"/>
        <v>0</v>
      </c>
      <c r="U1283" s="498">
        <f>U1284+U1286</f>
        <v>220</v>
      </c>
      <c r="V1283" s="498">
        <f>V1284+V1286</f>
        <v>0</v>
      </c>
      <c r="W1283" s="203">
        <f t="shared" si="418"/>
        <v>0</v>
      </c>
      <c r="X1283" s="203">
        <f t="shared" si="419"/>
        <v>0</v>
      </c>
    </row>
    <row r="1284" spans="1:24" ht="19.5" customHeight="1" x14ac:dyDescent="0.2">
      <c r="A1284" s="746" t="s">
        <v>1944</v>
      </c>
      <c r="B1284" s="306" t="s">
        <v>98</v>
      </c>
      <c r="C1284" s="354" t="s">
        <v>605</v>
      </c>
      <c r="D1284" s="354" t="s">
        <v>8</v>
      </c>
      <c r="E1284" s="450">
        <v>9990022520</v>
      </c>
      <c r="F1284" s="450"/>
      <c r="G1284" s="591">
        <f>G1285</f>
        <v>654.73</v>
      </c>
      <c r="H1284" s="591">
        <f>H1285</f>
        <v>0</v>
      </c>
      <c r="I1284" s="591">
        <f>I1285</f>
        <v>654.73</v>
      </c>
      <c r="J1284" s="591">
        <f>J1285</f>
        <v>0</v>
      </c>
      <c r="K1284" s="591">
        <f t="shared" si="404"/>
        <v>0</v>
      </c>
      <c r="L1284" s="591">
        <f t="shared" si="405"/>
        <v>0</v>
      </c>
      <c r="M1284" s="217">
        <f t="shared" si="414"/>
        <v>0</v>
      </c>
      <c r="N1284" s="42">
        <f>N1287</f>
        <v>0</v>
      </c>
      <c r="R1284" s="591">
        <f>R1285</f>
        <v>0</v>
      </c>
      <c r="S1284" s="591">
        <f>S1285</f>
        <v>0</v>
      </c>
      <c r="T1284" s="217">
        <f t="shared" si="416"/>
        <v>0</v>
      </c>
      <c r="U1284" s="498">
        <f t="shared" si="420"/>
        <v>0</v>
      </c>
      <c r="V1284" s="498">
        <f t="shared" si="420"/>
        <v>0</v>
      </c>
      <c r="W1284" s="203">
        <f t="shared" si="418"/>
        <v>0</v>
      </c>
      <c r="X1284" s="203">
        <f t="shared" si="419"/>
        <v>0</v>
      </c>
    </row>
    <row r="1285" spans="1:24" ht="23.25" customHeight="1" x14ac:dyDescent="0.2">
      <c r="A1285" s="739" t="s">
        <v>834</v>
      </c>
      <c r="B1285" s="243" t="s">
        <v>98</v>
      </c>
      <c r="C1285" s="353" t="s">
        <v>605</v>
      </c>
      <c r="D1285" s="353" t="s">
        <v>8</v>
      </c>
      <c r="E1285" s="369">
        <v>9990022520</v>
      </c>
      <c r="F1285" s="369" t="s">
        <v>634</v>
      </c>
      <c r="G1285" s="288">
        <v>654.73</v>
      </c>
      <c r="H1285" s="288"/>
      <c r="I1285" s="288">
        <v>654.73</v>
      </c>
      <c r="J1285" s="288"/>
      <c r="K1285" s="43">
        <f t="shared" si="404"/>
        <v>0</v>
      </c>
      <c r="L1285" s="43">
        <f t="shared" si="405"/>
        <v>0</v>
      </c>
      <c r="M1285" s="217">
        <f t="shared" si="414"/>
        <v>0</v>
      </c>
      <c r="N1285" s="43"/>
      <c r="R1285" s="288"/>
      <c r="S1285" s="288"/>
      <c r="T1285" s="217">
        <f t="shared" si="416"/>
        <v>0</v>
      </c>
      <c r="U1285" s="288"/>
      <c r="V1285" s="288"/>
      <c r="W1285" s="203">
        <f t="shared" si="418"/>
        <v>0</v>
      </c>
      <c r="X1285" s="203">
        <f t="shared" si="419"/>
        <v>0</v>
      </c>
    </row>
    <row r="1286" spans="1:24" ht="12" hidden="1" customHeight="1" x14ac:dyDescent="0.2">
      <c r="A1286" s="451" t="s">
        <v>238</v>
      </c>
      <c r="B1286" s="306" t="s">
        <v>98</v>
      </c>
      <c r="C1286" s="354" t="s">
        <v>605</v>
      </c>
      <c r="D1286" s="354" t="s">
        <v>8</v>
      </c>
      <c r="E1286" s="450" t="s">
        <v>788</v>
      </c>
      <c r="F1286" s="450"/>
      <c r="G1286" s="498">
        <f>G1287</f>
        <v>0</v>
      </c>
      <c r="H1286" s="498">
        <f>H1287</f>
        <v>0</v>
      </c>
      <c r="I1286" s="591">
        <f>I1287</f>
        <v>0</v>
      </c>
      <c r="J1286" s="591">
        <f>J1287</f>
        <v>0</v>
      </c>
      <c r="K1286" s="591">
        <f t="shared" si="404"/>
        <v>0</v>
      </c>
      <c r="L1286" s="591">
        <f t="shared" si="405"/>
        <v>0</v>
      </c>
      <c r="M1286" s="217">
        <f t="shared" si="414"/>
        <v>0</v>
      </c>
      <c r="N1286" s="42" t="e">
        <f>N1325</f>
        <v>#REF!</v>
      </c>
      <c r="R1286" s="591">
        <f>R1287</f>
        <v>0</v>
      </c>
      <c r="S1286" s="591">
        <f>S1287</f>
        <v>0</v>
      </c>
      <c r="T1286" s="217">
        <f t="shared" si="416"/>
        <v>0</v>
      </c>
      <c r="U1286" s="498">
        <f>U1287</f>
        <v>220</v>
      </c>
      <c r="V1286" s="498">
        <f>V1287</f>
        <v>0</v>
      </c>
      <c r="W1286" s="203">
        <f t="shared" si="418"/>
        <v>0</v>
      </c>
      <c r="X1286" s="203">
        <f t="shared" si="419"/>
        <v>0</v>
      </c>
    </row>
    <row r="1287" spans="1:24" ht="24" hidden="1" customHeight="1" x14ac:dyDescent="0.2">
      <c r="A1287" s="124" t="s">
        <v>834</v>
      </c>
      <c r="B1287" s="243" t="s">
        <v>98</v>
      </c>
      <c r="C1287" s="353" t="s">
        <v>605</v>
      </c>
      <c r="D1287" s="353" t="s">
        <v>8</v>
      </c>
      <c r="E1287" s="369" t="s">
        <v>788</v>
      </c>
      <c r="F1287" s="369" t="s">
        <v>634</v>
      </c>
      <c r="G1287" s="288"/>
      <c r="H1287" s="288"/>
      <c r="I1287" s="288"/>
      <c r="J1287" s="288"/>
      <c r="K1287" s="43">
        <f t="shared" si="404"/>
        <v>0</v>
      </c>
      <c r="L1287" s="43">
        <f t="shared" si="405"/>
        <v>0</v>
      </c>
      <c r="M1287" s="217">
        <f t="shared" si="414"/>
        <v>0</v>
      </c>
      <c r="N1287" s="43"/>
      <c r="R1287" s="288"/>
      <c r="S1287" s="288"/>
      <c r="T1287" s="217">
        <f t="shared" si="416"/>
        <v>0</v>
      </c>
      <c r="U1287" s="288">
        <v>220</v>
      </c>
      <c r="V1287" s="288"/>
      <c r="W1287" s="203">
        <f t="shared" si="418"/>
        <v>0</v>
      </c>
      <c r="X1287" s="203">
        <f t="shared" si="419"/>
        <v>0</v>
      </c>
    </row>
    <row r="1288" spans="1:24" ht="15" x14ac:dyDescent="0.2">
      <c r="A1288" s="746" t="s">
        <v>210</v>
      </c>
      <c r="B1288" s="306" t="s">
        <v>98</v>
      </c>
      <c r="C1288" s="354" t="s">
        <v>605</v>
      </c>
      <c r="D1288" s="354" t="s">
        <v>620</v>
      </c>
      <c r="E1288" s="450"/>
      <c r="F1288" s="450"/>
      <c r="G1288" s="591">
        <f t="shared" ref="G1288:L1288" si="421">G1359+G1325+G1348+G1289+G1306+G1321</f>
        <v>10303.21264</v>
      </c>
      <c r="H1288" s="591">
        <f t="shared" si="421"/>
        <v>0</v>
      </c>
      <c r="I1288" s="591">
        <f t="shared" si="421"/>
        <v>10535.71264</v>
      </c>
      <c r="J1288" s="591">
        <f t="shared" si="421"/>
        <v>0</v>
      </c>
      <c r="K1288" s="591">
        <f t="shared" si="421"/>
        <v>232.5</v>
      </c>
      <c r="L1288" s="591">
        <f t="shared" si="421"/>
        <v>0</v>
      </c>
      <c r="M1288" s="217">
        <f t="shared" si="414"/>
        <v>0</v>
      </c>
      <c r="N1288" s="42">
        <f>N1359</f>
        <v>5970.3120000000008</v>
      </c>
      <c r="R1288" s="591" t="e">
        <f>R1359+R1325+R1348+R1289+R1306</f>
        <v>#REF!</v>
      </c>
      <c r="S1288" s="591" t="e">
        <f>S1359+S1325+S1348+S1289+S1306</f>
        <v>#REF!</v>
      </c>
      <c r="T1288" s="217">
        <f t="shared" si="416"/>
        <v>232.5</v>
      </c>
      <c r="U1288" s="498">
        <f>U1359+U1325+U1348+U1289</f>
        <v>6334.0820000000003</v>
      </c>
      <c r="V1288" s="498">
        <f>V1359+V1325+V1348+V1289</f>
        <v>497.6</v>
      </c>
      <c r="W1288" s="203">
        <f t="shared" si="418"/>
        <v>-232.5</v>
      </c>
      <c r="X1288" s="203">
        <f t="shared" si="419"/>
        <v>0</v>
      </c>
    </row>
    <row r="1289" spans="1:24" ht="25.5" x14ac:dyDescent="0.2">
      <c r="A1289" s="752" t="s">
        <v>1350</v>
      </c>
      <c r="B1289" s="306" t="s">
        <v>98</v>
      </c>
      <c r="C1289" s="354" t="s">
        <v>605</v>
      </c>
      <c r="D1289" s="354" t="s">
        <v>620</v>
      </c>
      <c r="E1289" s="450">
        <v>7000000000</v>
      </c>
      <c r="F1289" s="450"/>
      <c r="G1289" s="591">
        <f>G1290+G1293+G1296+G1299+G1303</f>
        <v>240.262</v>
      </c>
      <c r="H1289" s="591">
        <f>H1290+H1293+H1296+H1299+H1303</f>
        <v>0</v>
      </c>
      <c r="I1289" s="591">
        <f>I1290+I1293+I1296+I1299+I1303</f>
        <v>240.262</v>
      </c>
      <c r="J1289" s="591">
        <f>J1290+J1293+J1296+J1299+J1303</f>
        <v>0</v>
      </c>
      <c r="K1289" s="591">
        <f t="shared" si="404"/>
        <v>0</v>
      </c>
      <c r="L1289" s="591">
        <f t="shared" si="405"/>
        <v>0</v>
      </c>
      <c r="M1289" s="217">
        <f t="shared" si="414"/>
        <v>0</v>
      </c>
      <c r="N1289" s="42"/>
      <c r="R1289" s="591">
        <f>R1290+R1293+R1296+R1299+R1303</f>
        <v>9.8000000000000007</v>
      </c>
      <c r="S1289" s="591">
        <f>S1290+S1293+S1296+S1299+S1303</f>
        <v>0</v>
      </c>
      <c r="T1289" s="217"/>
      <c r="U1289" s="498">
        <f>U1290+U1293+U1296+U1299+U1303</f>
        <v>979.08199999999999</v>
      </c>
      <c r="V1289" s="498">
        <f>V1290+V1293+V1296+V1299+V1303</f>
        <v>0</v>
      </c>
      <c r="W1289" s="203"/>
      <c r="X1289" s="203"/>
    </row>
    <row r="1290" spans="1:24" ht="25.5" x14ac:dyDescent="0.2">
      <c r="A1290" s="752" t="s">
        <v>1351</v>
      </c>
      <c r="B1290" s="306" t="s">
        <v>98</v>
      </c>
      <c r="C1290" s="354" t="s">
        <v>605</v>
      </c>
      <c r="D1290" s="354" t="s">
        <v>620</v>
      </c>
      <c r="E1290" s="450">
        <v>7000100000</v>
      </c>
      <c r="F1290" s="450"/>
      <c r="G1290" s="591">
        <f t="shared" ref="G1290:J1291" si="422">G1291</f>
        <v>82</v>
      </c>
      <c r="H1290" s="591">
        <f t="shared" si="422"/>
        <v>0</v>
      </c>
      <c r="I1290" s="591">
        <f t="shared" si="422"/>
        <v>82</v>
      </c>
      <c r="J1290" s="591">
        <f t="shared" si="422"/>
        <v>0</v>
      </c>
      <c r="K1290" s="591">
        <f t="shared" si="404"/>
        <v>0</v>
      </c>
      <c r="L1290" s="591">
        <f t="shared" si="405"/>
        <v>0</v>
      </c>
      <c r="M1290" s="217">
        <f t="shared" si="414"/>
        <v>0</v>
      </c>
      <c r="N1290" s="42"/>
      <c r="R1290" s="591">
        <f>R1291</f>
        <v>0</v>
      </c>
      <c r="S1290" s="591">
        <f>S1291</f>
        <v>0</v>
      </c>
      <c r="T1290" s="217"/>
      <c r="U1290" s="498">
        <f>U1291</f>
        <v>82</v>
      </c>
      <c r="V1290" s="498">
        <f>V1291</f>
        <v>0</v>
      </c>
      <c r="W1290" s="203"/>
      <c r="X1290" s="203"/>
    </row>
    <row r="1291" spans="1:24" ht="15" x14ac:dyDescent="0.2">
      <c r="A1291" s="752" t="s">
        <v>1352</v>
      </c>
      <c r="B1291" s="306" t="s">
        <v>98</v>
      </c>
      <c r="C1291" s="354" t="s">
        <v>605</v>
      </c>
      <c r="D1291" s="354" t="s">
        <v>620</v>
      </c>
      <c r="E1291" s="450">
        <v>7000182030</v>
      </c>
      <c r="F1291" s="450"/>
      <c r="G1291" s="591">
        <f t="shared" si="422"/>
        <v>82</v>
      </c>
      <c r="H1291" s="591">
        <f t="shared" si="422"/>
        <v>0</v>
      </c>
      <c r="I1291" s="591">
        <f t="shared" si="422"/>
        <v>82</v>
      </c>
      <c r="J1291" s="591">
        <f t="shared" si="422"/>
        <v>0</v>
      </c>
      <c r="K1291" s="591">
        <f t="shared" si="404"/>
        <v>0</v>
      </c>
      <c r="L1291" s="591">
        <f t="shared" si="405"/>
        <v>0</v>
      </c>
      <c r="M1291" s="217">
        <f t="shared" si="414"/>
        <v>0</v>
      </c>
      <c r="N1291" s="42"/>
      <c r="R1291" s="591">
        <f>R1292</f>
        <v>0</v>
      </c>
      <c r="S1291" s="591">
        <f>S1292</f>
        <v>0</v>
      </c>
      <c r="T1291" s="217"/>
      <c r="U1291" s="498">
        <f>U1292</f>
        <v>82</v>
      </c>
      <c r="V1291" s="498">
        <f>V1292</f>
        <v>0</v>
      </c>
      <c r="W1291" s="203"/>
      <c r="X1291" s="203"/>
    </row>
    <row r="1292" spans="1:24" ht="15" x14ac:dyDescent="0.2">
      <c r="A1292" s="739" t="s">
        <v>834</v>
      </c>
      <c r="B1292" s="243" t="s">
        <v>98</v>
      </c>
      <c r="C1292" s="353" t="s">
        <v>605</v>
      </c>
      <c r="D1292" s="353" t="s">
        <v>620</v>
      </c>
      <c r="E1292" s="369">
        <v>7000182030</v>
      </c>
      <c r="F1292" s="369" t="s">
        <v>634</v>
      </c>
      <c r="G1292" s="288">
        <v>82</v>
      </c>
      <c r="H1292" s="288"/>
      <c r="I1292" s="288">
        <v>82</v>
      </c>
      <c r="J1292" s="288"/>
      <c r="K1292" s="43">
        <f t="shared" si="404"/>
        <v>0</v>
      </c>
      <c r="L1292" s="43">
        <f t="shared" si="405"/>
        <v>0</v>
      </c>
      <c r="M1292" s="217">
        <f t="shared" si="414"/>
        <v>0</v>
      </c>
      <c r="N1292" s="42"/>
      <c r="R1292" s="288">
        <v>0</v>
      </c>
      <c r="S1292" s="288"/>
      <c r="T1292" s="217"/>
      <c r="U1292" s="288">
        <v>82</v>
      </c>
      <c r="V1292" s="288">
        <v>0</v>
      </c>
      <c r="W1292" s="203"/>
      <c r="X1292" s="203"/>
    </row>
    <row r="1293" spans="1:24" ht="25.5" x14ac:dyDescent="0.2">
      <c r="A1293" s="752" t="s">
        <v>1353</v>
      </c>
      <c r="B1293" s="306" t="s">
        <v>98</v>
      </c>
      <c r="C1293" s="354" t="s">
        <v>605</v>
      </c>
      <c r="D1293" s="354" t="s">
        <v>620</v>
      </c>
      <c r="E1293" s="450">
        <v>7000200000</v>
      </c>
      <c r="F1293" s="450"/>
      <c r="G1293" s="591">
        <f t="shared" ref="G1293:J1294" si="423">G1294</f>
        <v>27.231999999999999</v>
      </c>
      <c r="H1293" s="591">
        <f t="shared" si="423"/>
        <v>0</v>
      </c>
      <c r="I1293" s="591">
        <f t="shared" si="423"/>
        <v>27.231999999999999</v>
      </c>
      <c r="J1293" s="591">
        <f t="shared" si="423"/>
        <v>0</v>
      </c>
      <c r="K1293" s="591">
        <f t="shared" si="404"/>
        <v>0</v>
      </c>
      <c r="L1293" s="591">
        <f t="shared" si="405"/>
        <v>0</v>
      </c>
      <c r="M1293" s="217">
        <f t="shared" si="414"/>
        <v>0</v>
      </c>
      <c r="N1293" s="42"/>
      <c r="R1293" s="591">
        <f>R1294</f>
        <v>0</v>
      </c>
      <c r="S1293" s="591">
        <f>S1294</f>
        <v>0</v>
      </c>
      <c r="T1293" s="217"/>
      <c r="U1293" s="498">
        <f>U1294</f>
        <v>27.231999999999999</v>
      </c>
      <c r="V1293" s="498">
        <f>V1294</f>
        <v>0</v>
      </c>
      <c r="W1293" s="203"/>
      <c r="X1293" s="203"/>
    </row>
    <row r="1294" spans="1:24" ht="15" x14ac:dyDescent="0.2">
      <c r="A1294" s="752" t="s">
        <v>1352</v>
      </c>
      <c r="B1294" s="306" t="s">
        <v>98</v>
      </c>
      <c r="C1294" s="354" t="s">
        <v>605</v>
      </c>
      <c r="D1294" s="354" t="s">
        <v>620</v>
      </c>
      <c r="E1294" s="450">
        <v>7000282030</v>
      </c>
      <c r="F1294" s="450"/>
      <c r="G1294" s="591">
        <f t="shared" si="423"/>
        <v>27.231999999999999</v>
      </c>
      <c r="H1294" s="591">
        <f t="shared" si="423"/>
        <v>0</v>
      </c>
      <c r="I1294" s="591">
        <f t="shared" si="423"/>
        <v>27.231999999999999</v>
      </c>
      <c r="J1294" s="591">
        <f t="shared" si="423"/>
        <v>0</v>
      </c>
      <c r="K1294" s="591">
        <f t="shared" si="404"/>
        <v>0</v>
      </c>
      <c r="L1294" s="591">
        <f t="shared" si="405"/>
        <v>0</v>
      </c>
      <c r="M1294" s="217">
        <f t="shared" si="414"/>
        <v>0</v>
      </c>
      <c r="N1294" s="42"/>
      <c r="R1294" s="591">
        <f>R1295</f>
        <v>0</v>
      </c>
      <c r="S1294" s="591">
        <f>S1295</f>
        <v>0</v>
      </c>
      <c r="T1294" s="217"/>
      <c r="U1294" s="498">
        <f>U1295</f>
        <v>27.231999999999999</v>
      </c>
      <c r="V1294" s="498">
        <f>V1295</f>
        <v>0</v>
      </c>
      <c r="W1294" s="203"/>
      <c r="X1294" s="203"/>
    </row>
    <row r="1295" spans="1:24" ht="15" x14ac:dyDescent="0.2">
      <c r="A1295" s="739" t="s">
        <v>834</v>
      </c>
      <c r="B1295" s="243" t="s">
        <v>98</v>
      </c>
      <c r="C1295" s="353" t="s">
        <v>605</v>
      </c>
      <c r="D1295" s="353" t="s">
        <v>620</v>
      </c>
      <c r="E1295" s="369">
        <v>7000282030</v>
      </c>
      <c r="F1295" s="369" t="s">
        <v>634</v>
      </c>
      <c r="G1295" s="288">
        <v>27.231999999999999</v>
      </c>
      <c r="H1295" s="288"/>
      <c r="I1295" s="288">
        <v>27.231999999999999</v>
      </c>
      <c r="J1295" s="288"/>
      <c r="K1295" s="43">
        <f t="shared" si="404"/>
        <v>0</v>
      </c>
      <c r="L1295" s="43">
        <f t="shared" si="405"/>
        <v>0</v>
      </c>
      <c r="M1295" s="217">
        <f t="shared" si="414"/>
        <v>0</v>
      </c>
      <c r="N1295" s="42"/>
      <c r="R1295" s="288">
        <v>0</v>
      </c>
      <c r="S1295" s="288"/>
      <c r="T1295" s="217"/>
      <c r="U1295" s="288">
        <v>27.231999999999999</v>
      </c>
      <c r="V1295" s="288">
        <v>0</v>
      </c>
      <c r="W1295" s="203"/>
      <c r="X1295" s="203"/>
    </row>
    <row r="1296" spans="1:24" ht="25.5" hidden="1" x14ac:dyDescent="0.2">
      <c r="A1296" s="476" t="s">
        <v>1354</v>
      </c>
      <c r="B1296" s="306" t="s">
        <v>98</v>
      </c>
      <c r="C1296" s="354" t="s">
        <v>605</v>
      </c>
      <c r="D1296" s="354" t="s">
        <v>620</v>
      </c>
      <c r="E1296" s="450">
        <v>7000300000</v>
      </c>
      <c r="F1296" s="450"/>
      <c r="G1296" s="498">
        <f t="shared" ref="G1296:J1297" si="424">G1297</f>
        <v>0</v>
      </c>
      <c r="H1296" s="498">
        <f t="shared" si="424"/>
        <v>0</v>
      </c>
      <c r="I1296" s="591">
        <f t="shared" si="424"/>
        <v>0</v>
      </c>
      <c r="J1296" s="591">
        <f t="shared" si="424"/>
        <v>0</v>
      </c>
      <c r="K1296" s="591">
        <f t="shared" si="404"/>
        <v>0</v>
      </c>
      <c r="L1296" s="591">
        <f t="shared" si="405"/>
        <v>0</v>
      </c>
      <c r="M1296" s="217">
        <f t="shared" si="414"/>
        <v>0</v>
      </c>
      <c r="N1296" s="42"/>
      <c r="R1296" s="591">
        <f>R1297</f>
        <v>0</v>
      </c>
      <c r="S1296" s="591">
        <f>S1297</f>
        <v>0</v>
      </c>
      <c r="T1296" s="217"/>
      <c r="U1296" s="498">
        <f>U1297</f>
        <v>743.82</v>
      </c>
      <c r="V1296" s="498">
        <f>V1297</f>
        <v>0</v>
      </c>
      <c r="W1296" s="203"/>
      <c r="X1296" s="203"/>
    </row>
    <row r="1297" spans="1:24" ht="15" hidden="1" x14ac:dyDescent="0.2">
      <c r="A1297" s="476" t="s">
        <v>1352</v>
      </c>
      <c r="B1297" s="306" t="s">
        <v>98</v>
      </c>
      <c r="C1297" s="354" t="s">
        <v>605</v>
      </c>
      <c r="D1297" s="354" t="s">
        <v>620</v>
      </c>
      <c r="E1297" s="450">
        <v>7000382030</v>
      </c>
      <c r="F1297" s="450"/>
      <c r="G1297" s="498">
        <f t="shared" si="424"/>
        <v>0</v>
      </c>
      <c r="H1297" s="498">
        <f t="shared" si="424"/>
        <v>0</v>
      </c>
      <c r="I1297" s="591">
        <f t="shared" si="424"/>
        <v>0</v>
      </c>
      <c r="J1297" s="591">
        <f t="shared" si="424"/>
        <v>0</v>
      </c>
      <c r="K1297" s="591">
        <f t="shared" si="404"/>
        <v>0</v>
      </c>
      <c r="L1297" s="591">
        <f t="shared" si="405"/>
        <v>0</v>
      </c>
      <c r="M1297" s="217">
        <f t="shared" si="414"/>
        <v>0</v>
      </c>
      <c r="N1297" s="42"/>
      <c r="R1297" s="591">
        <f>R1298</f>
        <v>0</v>
      </c>
      <c r="S1297" s="591">
        <f>S1298</f>
        <v>0</v>
      </c>
      <c r="T1297" s="217"/>
      <c r="U1297" s="498">
        <f>U1298</f>
        <v>743.82</v>
      </c>
      <c r="V1297" s="498">
        <f>V1298</f>
        <v>0</v>
      </c>
      <c r="W1297" s="203"/>
      <c r="X1297" s="203"/>
    </row>
    <row r="1298" spans="1:24" ht="15" hidden="1" x14ac:dyDescent="0.2">
      <c r="A1298" s="124" t="s">
        <v>834</v>
      </c>
      <c r="B1298" s="243" t="s">
        <v>98</v>
      </c>
      <c r="C1298" s="353" t="s">
        <v>605</v>
      </c>
      <c r="D1298" s="353" t="s">
        <v>620</v>
      </c>
      <c r="E1298" s="369">
        <v>7000382030</v>
      </c>
      <c r="F1298" s="369" t="s">
        <v>634</v>
      </c>
      <c r="G1298" s="288">
        <v>0</v>
      </c>
      <c r="H1298" s="288"/>
      <c r="I1298" s="288">
        <v>0</v>
      </c>
      <c r="J1298" s="288"/>
      <c r="K1298" s="43">
        <f t="shared" si="404"/>
        <v>0</v>
      </c>
      <c r="L1298" s="43">
        <f t="shared" si="405"/>
        <v>0</v>
      </c>
      <c r="M1298" s="217">
        <f t="shared" si="414"/>
        <v>0</v>
      </c>
      <c r="N1298" s="42"/>
      <c r="R1298" s="288">
        <v>0</v>
      </c>
      <c r="S1298" s="288"/>
      <c r="T1298" s="217"/>
      <c r="U1298" s="288">
        <v>743.82</v>
      </c>
      <c r="V1298" s="288">
        <v>0</v>
      </c>
      <c r="W1298" s="203"/>
      <c r="X1298" s="203"/>
    </row>
    <row r="1299" spans="1:24" ht="15" x14ac:dyDescent="0.2">
      <c r="A1299" s="752" t="s">
        <v>1355</v>
      </c>
      <c r="B1299" s="306" t="s">
        <v>98</v>
      </c>
      <c r="C1299" s="354" t="s">
        <v>605</v>
      </c>
      <c r="D1299" s="354" t="s">
        <v>620</v>
      </c>
      <c r="E1299" s="450">
        <v>7000400000</v>
      </c>
      <c r="F1299" s="450"/>
      <c r="G1299" s="591">
        <f>G1300</f>
        <v>121.03</v>
      </c>
      <c r="H1299" s="591">
        <f>H1300</f>
        <v>0</v>
      </c>
      <c r="I1299" s="591">
        <f>I1300</f>
        <v>121.03</v>
      </c>
      <c r="J1299" s="591">
        <f>J1300</f>
        <v>0</v>
      </c>
      <c r="K1299" s="591">
        <f t="shared" si="404"/>
        <v>0</v>
      </c>
      <c r="L1299" s="591">
        <f t="shared" si="405"/>
        <v>0</v>
      </c>
      <c r="M1299" s="217">
        <f t="shared" si="414"/>
        <v>0</v>
      </c>
      <c r="N1299" s="42"/>
      <c r="R1299" s="591">
        <f>R1300</f>
        <v>0</v>
      </c>
      <c r="S1299" s="591">
        <f>S1300</f>
        <v>0</v>
      </c>
      <c r="T1299" s="217"/>
      <c r="U1299" s="498">
        <f>U1300</f>
        <v>116.03</v>
      </c>
      <c r="V1299" s="498">
        <f>V1300</f>
        <v>0</v>
      </c>
      <c r="W1299" s="203"/>
      <c r="X1299" s="203"/>
    </row>
    <row r="1300" spans="1:24" ht="15" x14ac:dyDescent="0.2">
      <c r="A1300" s="752" t="s">
        <v>1352</v>
      </c>
      <c r="B1300" s="306" t="s">
        <v>98</v>
      </c>
      <c r="C1300" s="354" t="s">
        <v>605</v>
      </c>
      <c r="D1300" s="354" t="s">
        <v>620</v>
      </c>
      <c r="E1300" s="450">
        <v>7000482030</v>
      </c>
      <c r="F1300" s="450"/>
      <c r="G1300" s="591">
        <f>G1301+G1302</f>
        <v>121.03</v>
      </c>
      <c r="H1300" s="591">
        <f>H1301+H1302</f>
        <v>0</v>
      </c>
      <c r="I1300" s="591">
        <f>I1301+I1302</f>
        <v>121.03</v>
      </c>
      <c r="J1300" s="591">
        <f>J1301+J1302</f>
        <v>0</v>
      </c>
      <c r="K1300" s="591">
        <f t="shared" si="404"/>
        <v>0</v>
      </c>
      <c r="L1300" s="591">
        <f t="shared" si="405"/>
        <v>0</v>
      </c>
      <c r="M1300" s="217">
        <f t="shared" si="414"/>
        <v>0</v>
      </c>
      <c r="N1300" s="42"/>
      <c r="R1300" s="591">
        <f>R1301</f>
        <v>0</v>
      </c>
      <c r="S1300" s="591">
        <f>S1301</f>
        <v>0</v>
      </c>
      <c r="T1300" s="217"/>
      <c r="U1300" s="498">
        <f>U1301</f>
        <v>116.03</v>
      </c>
      <c r="V1300" s="498">
        <f>V1301</f>
        <v>0</v>
      </c>
      <c r="W1300" s="203"/>
      <c r="X1300" s="203"/>
    </row>
    <row r="1301" spans="1:24" ht="15" x14ac:dyDescent="0.2">
      <c r="A1301" s="739" t="s">
        <v>834</v>
      </c>
      <c r="B1301" s="243" t="s">
        <v>98</v>
      </c>
      <c r="C1301" s="353" t="s">
        <v>605</v>
      </c>
      <c r="D1301" s="353" t="s">
        <v>620</v>
      </c>
      <c r="E1301" s="369">
        <v>7000482030</v>
      </c>
      <c r="F1301" s="369" t="s">
        <v>634</v>
      </c>
      <c r="G1301" s="288">
        <v>121.03</v>
      </c>
      <c r="H1301" s="288"/>
      <c r="I1301" s="288">
        <v>121.03</v>
      </c>
      <c r="J1301" s="288"/>
      <c r="K1301" s="43">
        <f t="shared" si="404"/>
        <v>0</v>
      </c>
      <c r="L1301" s="43">
        <f t="shared" si="405"/>
        <v>0</v>
      </c>
      <c r="M1301" s="217">
        <f t="shared" si="414"/>
        <v>0</v>
      </c>
      <c r="N1301" s="42"/>
      <c r="R1301" s="288">
        <v>0</v>
      </c>
      <c r="S1301" s="288"/>
      <c r="T1301" s="217"/>
      <c r="U1301" s="288">
        <v>116.03</v>
      </c>
      <c r="V1301" s="288">
        <v>0</v>
      </c>
      <c r="W1301" s="203"/>
      <c r="X1301" s="203"/>
    </row>
    <row r="1302" spans="1:24" ht="15" hidden="1" x14ac:dyDescent="0.2">
      <c r="A1302" s="643" t="s">
        <v>164</v>
      </c>
      <c r="B1302" s="243" t="s">
        <v>98</v>
      </c>
      <c r="C1302" s="353" t="s">
        <v>605</v>
      </c>
      <c r="D1302" s="353" t="s">
        <v>620</v>
      </c>
      <c r="E1302" s="369">
        <v>7000482030</v>
      </c>
      <c r="F1302" s="369">
        <v>540</v>
      </c>
      <c r="G1302" s="288"/>
      <c r="H1302" s="288"/>
      <c r="I1302" s="288"/>
      <c r="J1302" s="288"/>
      <c r="K1302" s="43">
        <f t="shared" si="404"/>
        <v>0</v>
      </c>
      <c r="L1302" s="43">
        <f t="shared" si="405"/>
        <v>0</v>
      </c>
      <c r="M1302" s="217"/>
      <c r="N1302" s="42"/>
      <c r="R1302" s="288"/>
      <c r="S1302" s="288"/>
      <c r="T1302" s="217"/>
      <c r="U1302" s="288"/>
      <c r="V1302" s="288"/>
      <c r="W1302" s="203"/>
      <c r="X1302" s="203"/>
    </row>
    <row r="1303" spans="1:24" ht="15" x14ac:dyDescent="0.2">
      <c r="A1303" s="752" t="s">
        <v>1356</v>
      </c>
      <c r="B1303" s="306" t="s">
        <v>98</v>
      </c>
      <c r="C1303" s="354" t="s">
        <v>605</v>
      </c>
      <c r="D1303" s="354" t="s">
        <v>620</v>
      </c>
      <c r="E1303" s="450">
        <v>7000500000</v>
      </c>
      <c r="F1303" s="450"/>
      <c r="G1303" s="591">
        <f t="shared" ref="G1303:J1304" si="425">G1304</f>
        <v>10</v>
      </c>
      <c r="H1303" s="591">
        <f>H1304</f>
        <v>0</v>
      </c>
      <c r="I1303" s="591">
        <f t="shared" si="425"/>
        <v>10</v>
      </c>
      <c r="J1303" s="591">
        <f>J1304</f>
        <v>0</v>
      </c>
      <c r="K1303" s="591">
        <f t="shared" si="404"/>
        <v>0</v>
      </c>
      <c r="L1303" s="591">
        <f t="shared" si="405"/>
        <v>0</v>
      </c>
      <c r="M1303" s="217">
        <f t="shared" si="414"/>
        <v>0</v>
      </c>
      <c r="N1303" s="42"/>
      <c r="R1303" s="591">
        <f>R1304</f>
        <v>9.8000000000000007</v>
      </c>
      <c r="S1303" s="591">
        <f>S1304</f>
        <v>0</v>
      </c>
      <c r="T1303" s="217"/>
      <c r="U1303" s="498">
        <f>U1304</f>
        <v>10</v>
      </c>
      <c r="V1303" s="498">
        <f>V1304</f>
        <v>0</v>
      </c>
      <c r="W1303" s="203"/>
      <c r="X1303" s="203"/>
    </row>
    <row r="1304" spans="1:24" ht="15" x14ac:dyDescent="0.2">
      <c r="A1304" s="752" t="s">
        <v>1352</v>
      </c>
      <c r="B1304" s="306" t="s">
        <v>98</v>
      </c>
      <c r="C1304" s="354" t="s">
        <v>605</v>
      </c>
      <c r="D1304" s="354" t="s">
        <v>620</v>
      </c>
      <c r="E1304" s="450">
        <v>7000582030</v>
      </c>
      <c r="F1304" s="450"/>
      <c r="G1304" s="591">
        <f t="shared" si="425"/>
        <v>10</v>
      </c>
      <c r="H1304" s="591">
        <f t="shared" si="425"/>
        <v>0</v>
      </c>
      <c r="I1304" s="591">
        <f t="shared" si="425"/>
        <v>10</v>
      </c>
      <c r="J1304" s="591">
        <f t="shared" si="425"/>
        <v>0</v>
      </c>
      <c r="K1304" s="591">
        <f t="shared" si="404"/>
        <v>0</v>
      </c>
      <c r="L1304" s="591">
        <f t="shared" si="405"/>
        <v>0</v>
      </c>
      <c r="M1304" s="217">
        <f t="shared" si="414"/>
        <v>0</v>
      </c>
      <c r="N1304" s="42"/>
      <c r="R1304" s="591">
        <f>R1305</f>
        <v>9.8000000000000007</v>
      </c>
      <c r="S1304" s="591">
        <f>S1305</f>
        <v>0</v>
      </c>
      <c r="T1304" s="217"/>
      <c r="U1304" s="498">
        <f>U1305</f>
        <v>10</v>
      </c>
      <c r="V1304" s="498">
        <f>V1305</f>
        <v>0</v>
      </c>
      <c r="W1304" s="203"/>
      <c r="X1304" s="203"/>
    </row>
    <row r="1305" spans="1:24" ht="15" x14ac:dyDescent="0.2">
      <c r="A1305" s="739" t="s">
        <v>834</v>
      </c>
      <c r="B1305" s="243" t="s">
        <v>98</v>
      </c>
      <c r="C1305" s="353" t="s">
        <v>605</v>
      </c>
      <c r="D1305" s="353" t="s">
        <v>620</v>
      </c>
      <c r="E1305" s="369">
        <v>7000582030</v>
      </c>
      <c r="F1305" s="369" t="s">
        <v>634</v>
      </c>
      <c r="G1305" s="288">
        <v>10</v>
      </c>
      <c r="H1305" s="288"/>
      <c r="I1305" s="288">
        <v>10</v>
      </c>
      <c r="J1305" s="288"/>
      <c r="K1305" s="43">
        <f t="shared" si="404"/>
        <v>0</v>
      </c>
      <c r="L1305" s="43">
        <f t="shared" si="405"/>
        <v>0</v>
      </c>
      <c r="M1305" s="217">
        <f t="shared" si="414"/>
        <v>0</v>
      </c>
      <c r="N1305" s="42"/>
      <c r="R1305" s="288">
        <v>9.8000000000000007</v>
      </c>
      <c r="S1305" s="43"/>
      <c r="T1305" s="217"/>
      <c r="U1305" s="288">
        <v>10</v>
      </c>
      <c r="V1305" s="288">
        <v>0</v>
      </c>
      <c r="W1305" s="203"/>
      <c r="X1305" s="203"/>
    </row>
    <row r="1306" spans="1:24" ht="25.5" x14ac:dyDescent="0.2">
      <c r="A1306" s="752" t="s">
        <v>1511</v>
      </c>
      <c r="B1306" s="585">
        <v>959</v>
      </c>
      <c r="C1306" s="586" t="s">
        <v>605</v>
      </c>
      <c r="D1306" s="509">
        <v>13</v>
      </c>
      <c r="E1306" s="509" t="s">
        <v>1505</v>
      </c>
      <c r="F1306" s="509"/>
      <c r="G1306" s="590">
        <f>G1307+G1311+G1317</f>
        <v>60</v>
      </c>
      <c r="H1306" s="590">
        <f>H1307+H1311+H1317</f>
        <v>0</v>
      </c>
      <c r="I1306" s="590">
        <f>I1307+I1311+I1317</f>
        <v>255</v>
      </c>
      <c r="J1306" s="590">
        <f>J1307+J1311+J1317</f>
        <v>0</v>
      </c>
      <c r="K1306" s="590">
        <f t="shared" si="404"/>
        <v>195</v>
      </c>
      <c r="L1306" s="590">
        <f t="shared" si="405"/>
        <v>0</v>
      </c>
      <c r="M1306" s="217"/>
      <c r="N1306" s="42"/>
      <c r="R1306" s="590">
        <f>R1307+R1311+R1317</f>
        <v>176.25</v>
      </c>
      <c r="S1306" s="590">
        <f>S1307+S1311+S1317</f>
        <v>0</v>
      </c>
      <c r="T1306" s="217"/>
      <c r="U1306" s="498"/>
      <c r="V1306" s="498"/>
      <c r="W1306" s="203"/>
      <c r="X1306" s="203"/>
    </row>
    <row r="1307" spans="1:24" ht="15" x14ac:dyDescent="0.2">
      <c r="A1307" s="753" t="s">
        <v>1512</v>
      </c>
      <c r="B1307" s="585">
        <v>959</v>
      </c>
      <c r="C1307" s="586" t="s">
        <v>605</v>
      </c>
      <c r="D1307" s="509">
        <v>13</v>
      </c>
      <c r="E1307" s="509" t="s">
        <v>1506</v>
      </c>
      <c r="F1307" s="509"/>
      <c r="G1307" s="590">
        <f>G1308</f>
        <v>0</v>
      </c>
      <c r="H1307" s="590">
        <f>H1308</f>
        <v>0</v>
      </c>
      <c r="I1307" s="590">
        <f>I1308</f>
        <v>180</v>
      </c>
      <c r="J1307" s="590">
        <f>J1308</f>
        <v>0</v>
      </c>
      <c r="K1307" s="591">
        <f t="shared" si="404"/>
        <v>180</v>
      </c>
      <c r="L1307" s="591">
        <f t="shared" si="405"/>
        <v>0</v>
      </c>
      <c r="M1307" s="217"/>
      <c r="N1307" s="42"/>
      <c r="R1307" s="590">
        <f>R1308</f>
        <v>0</v>
      </c>
      <c r="S1307" s="590" t="s">
        <v>1510</v>
      </c>
      <c r="T1307" s="217"/>
      <c r="U1307" s="498"/>
      <c r="V1307" s="498"/>
      <c r="W1307" s="203"/>
      <c r="X1307" s="203"/>
    </row>
    <row r="1308" spans="1:24" ht="15" x14ac:dyDescent="0.2">
      <c r="A1308" s="753" t="s">
        <v>2015</v>
      </c>
      <c r="B1308" s="585">
        <v>959</v>
      </c>
      <c r="C1308" s="586" t="s">
        <v>605</v>
      </c>
      <c r="D1308" s="509">
        <v>13</v>
      </c>
      <c r="E1308" s="720" t="s">
        <v>1656</v>
      </c>
      <c r="F1308" s="509"/>
      <c r="G1308" s="590">
        <f>G1310+G1309</f>
        <v>0</v>
      </c>
      <c r="H1308" s="590">
        <f>H1310+H1309</f>
        <v>0</v>
      </c>
      <c r="I1308" s="590">
        <f>I1310+I1309</f>
        <v>180</v>
      </c>
      <c r="J1308" s="590">
        <f>J1310+J1309</f>
        <v>0</v>
      </c>
      <c r="K1308" s="590">
        <f t="shared" ref="K1308:K1378" si="426">I1308-G1308</f>
        <v>180</v>
      </c>
      <c r="L1308" s="590">
        <f t="shared" ref="L1308:L1378" si="427">J1308-H1308</f>
        <v>0</v>
      </c>
      <c r="M1308" s="217"/>
      <c r="N1308" s="42"/>
      <c r="R1308" s="590">
        <f>R1310</f>
        <v>0</v>
      </c>
      <c r="S1308" s="590" t="s">
        <v>1510</v>
      </c>
      <c r="T1308" s="217"/>
      <c r="U1308" s="498"/>
      <c r="V1308" s="498"/>
      <c r="W1308" s="203"/>
      <c r="X1308" s="203"/>
    </row>
    <row r="1309" spans="1:24" ht="15" x14ac:dyDescent="0.2">
      <c r="A1309" s="744" t="s">
        <v>834</v>
      </c>
      <c r="B1309" s="589">
        <v>959</v>
      </c>
      <c r="C1309" s="496" t="s">
        <v>605</v>
      </c>
      <c r="D1309" s="496">
        <v>13</v>
      </c>
      <c r="E1309" s="496" t="s">
        <v>1656</v>
      </c>
      <c r="F1309" s="490" t="s">
        <v>634</v>
      </c>
      <c r="G1309" s="588">
        <v>0</v>
      </c>
      <c r="H1309" s="587">
        <f>H1310</f>
        <v>0</v>
      </c>
      <c r="I1309" s="588">
        <v>130</v>
      </c>
      <c r="J1309" s="587">
        <f>J1310</f>
        <v>0</v>
      </c>
      <c r="K1309" s="43">
        <f t="shared" si="426"/>
        <v>130</v>
      </c>
      <c r="L1309" s="43">
        <f t="shared" si="427"/>
        <v>0</v>
      </c>
      <c r="M1309" s="217"/>
      <c r="N1309" s="42"/>
      <c r="R1309" s="590"/>
      <c r="S1309" s="590"/>
      <c r="T1309" s="217"/>
      <c r="U1309" s="591"/>
      <c r="V1309" s="591"/>
      <c r="W1309" s="203"/>
      <c r="X1309" s="203"/>
    </row>
    <row r="1310" spans="1:24" ht="15" x14ac:dyDescent="0.2">
      <c r="A1310" s="496" t="s">
        <v>1514</v>
      </c>
      <c r="B1310" s="589">
        <v>959</v>
      </c>
      <c r="C1310" s="496" t="s">
        <v>605</v>
      </c>
      <c r="D1310" s="496">
        <v>13</v>
      </c>
      <c r="E1310" s="496" t="s">
        <v>1656</v>
      </c>
      <c r="F1310" s="490" t="s">
        <v>1139</v>
      </c>
      <c r="G1310" s="588"/>
      <c r="H1310" s="587"/>
      <c r="I1310" s="588">
        <v>50</v>
      </c>
      <c r="J1310" s="587"/>
      <c r="K1310" s="43">
        <f t="shared" si="426"/>
        <v>50</v>
      </c>
      <c r="L1310" s="43">
        <f t="shared" si="427"/>
        <v>0</v>
      </c>
      <c r="M1310" s="217"/>
      <c r="N1310" s="42"/>
      <c r="R1310" s="588">
        <v>0</v>
      </c>
      <c r="S1310" s="587">
        <v>0</v>
      </c>
      <c r="T1310" s="217"/>
      <c r="U1310" s="288"/>
      <c r="V1310" s="288"/>
      <c r="W1310" s="203"/>
      <c r="X1310" s="203"/>
    </row>
    <row r="1311" spans="1:24" ht="15" x14ac:dyDescent="0.2">
      <c r="A1311" s="753" t="s">
        <v>1515</v>
      </c>
      <c r="B1311" s="585">
        <v>959</v>
      </c>
      <c r="C1311" s="586" t="s">
        <v>605</v>
      </c>
      <c r="D1311" s="509">
        <v>13</v>
      </c>
      <c r="E1311" s="509" t="s">
        <v>1508</v>
      </c>
      <c r="F1311" s="509"/>
      <c r="G1311" s="590">
        <f>G1312+G1315</f>
        <v>60</v>
      </c>
      <c r="H1311" s="590">
        <f>H1312+H1315</f>
        <v>0</v>
      </c>
      <c r="I1311" s="590">
        <f>I1312+I1315</f>
        <v>75</v>
      </c>
      <c r="J1311" s="590">
        <f>J1312+J1315</f>
        <v>0</v>
      </c>
      <c r="K1311" s="590">
        <f t="shared" si="426"/>
        <v>15</v>
      </c>
      <c r="L1311" s="590">
        <f t="shared" si="427"/>
        <v>0</v>
      </c>
      <c r="M1311" s="217"/>
      <c r="N1311" s="42"/>
      <c r="R1311" s="590">
        <f>R1312</f>
        <v>155.25</v>
      </c>
      <c r="S1311" s="590">
        <f>S1312</f>
        <v>0</v>
      </c>
      <c r="T1311" s="217"/>
      <c r="U1311" s="498"/>
      <c r="V1311" s="498"/>
      <c r="W1311" s="203"/>
      <c r="X1311" s="203"/>
    </row>
    <row r="1312" spans="1:24" ht="15" x14ac:dyDescent="0.2">
      <c r="A1312" s="753" t="s">
        <v>1513</v>
      </c>
      <c r="B1312" s="585">
        <v>959</v>
      </c>
      <c r="C1312" s="586" t="s">
        <v>605</v>
      </c>
      <c r="D1312" s="509">
        <v>13</v>
      </c>
      <c r="E1312" s="509" t="s">
        <v>1509</v>
      </c>
      <c r="F1312" s="509"/>
      <c r="G1312" s="590">
        <f>SUM(G1313:G1314)</f>
        <v>60</v>
      </c>
      <c r="H1312" s="590">
        <f>SUM(H1313:H1314)</f>
        <v>0</v>
      </c>
      <c r="I1312" s="590">
        <f>SUM(I1313:I1314)</f>
        <v>55</v>
      </c>
      <c r="J1312" s="590">
        <f>SUM(J1313:J1314)</f>
        <v>0</v>
      </c>
      <c r="K1312" s="590">
        <f t="shared" si="426"/>
        <v>-5</v>
      </c>
      <c r="L1312" s="590">
        <f t="shared" si="427"/>
        <v>0</v>
      </c>
      <c r="M1312" s="217"/>
      <c r="N1312" s="42"/>
      <c r="R1312" s="590">
        <f>SUM(R1313:R1314)</f>
        <v>155.25</v>
      </c>
      <c r="S1312" s="590">
        <f>SUM(S1313:S1314)</f>
        <v>0</v>
      </c>
      <c r="T1312" s="217"/>
      <c r="U1312" s="498"/>
      <c r="V1312" s="498"/>
      <c r="W1312" s="203"/>
      <c r="X1312" s="203"/>
    </row>
    <row r="1313" spans="1:24" ht="15" hidden="1" x14ac:dyDescent="0.2">
      <c r="A1313" s="124" t="s">
        <v>834</v>
      </c>
      <c r="B1313" s="589">
        <v>959</v>
      </c>
      <c r="C1313" s="496" t="s">
        <v>605</v>
      </c>
      <c r="D1313" s="496">
        <v>13</v>
      </c>
      <c r="E1313" s="496" t="s">
        <v>1509</v>
      </c>
      <c r="F1313" s="490" t="s">
        <v>634</v>
      </c>
      <c r="G1313" s="588">
        <v>0</v>
      </c>
      <c r="H1313" s="587"/>
      <c r="I1313" s="588">
        <v>0</v>
      </c>
      <c r="J1313" s="587"/>
      <c r="K1313" s="43">
        <f t="shared" si="426"/>
        <v>0</v>
      </c>
      <c r="L1313" s="43">
        <f t="shared" si="427"/>
        <v>0</v>
      </c>
      <c r="M1313" s="217"/>
      <c r="N1313" s="42"/>
      <c r="R1313" s="588">
        <v>2.8</v>
      </c>
      <c r="S1313" s="587">
        <v>0</v>
      </c>
      <c r="T1313" s="217"/>
      <c r="U1313" s="591"/>
      <c r="V1313" s="591"/>
      <c r="W1313" s="203"/>
      <c r="X1313" s="203"/>
    </row>
    <row r="1314" spans="1:24" ht="15" x14ac:dyDescent="0.2">
      <c r="A1314" s="496" t="s">
        <v>1514</v>
      </c>
      <c r="B1314" s="589">
        <v>959</v>
      </c>
      <c r="C1314" s="496" t="s">
        <v>605</v>
      </c>
      <c r="D1314" s="496">
        <v>13</v>
      </c>
      <c r="E1314" s="496" t="s">
        <v>1509</v>
      </c>
      <c r="F1314" s="490" t="s">
        <v>1139</v>
      </c>
      <c r="G1314" s="588">
        <v>60</v>
      </c>
      <c r="H1314" s="587"/>
      <c r="I1314" s="588">
        <v>55</v>
      </c>
      <c r="J1314" s="587"/>
      <c r="K1314" s="43">
        <f t="shared" si="426"/>
        <v>-5</v>
      </c>
      <c r="L1314" s="43">
        <f t="shared" si="427"/>
        <v>0</v>
      </c>
      <c r="M1314" s="217"/>
      <c r="N1314" s="42"/>
      <c r="R1314" s="588">
        <v>152.44999999999999</v>
      </c>
      <c r="S1314" s="587">
        <v>0</v>
      </c>
      <c r="T1314" s="217"/>
      <c r="U1314" s="288"/>
      <c r="V1314" s="288"/>
      <c r="W1314" s="203"/>
      <c r="X1314" s="203"/>
    </row>
    <row r="1315" spans="1:24" ht="15" x14ac:dyDescent="0.2">
      <c r="A1315" s="753" t="s">
        <v>1655</v>
      </c>
      <c r="B1315" s="585">
        <v>959</v>
      </c>
      <c r="C1315" s="616" t="s">
        <v>605</v>
      </c>
      <c r="D1315" s="616">
        <v>13</v>
      </c>
      <c r="E1315" s="652" t="s">
        <v>1657</v>
      </c>
      <c r="F1315" s="616"/>
      <c r="G1315" s="590">
        <f>G1316</f>
        <v>0</v>
      </c>
      <c r="H1315" s="590">
        <f>H1316</f>
        <v>0</v>
      </c>
      <c r="I1315" s="590">
        <f>I1316</f>
        <v>20</v>
      </c>
      <c r="J1315" s="590">
        <f>J1316</f>
        <v>0</v>
      </c>
      <c r="K1315" s="590">
        <f t="shared" si="426"/>
        <v>20</v>
      </c>
      <c r="L1315" s="590">
        <f t="shared" si="427"/>
        <v>0</v>
      </c>
      <c r="M1315" s="217"/>
      <c r="N1315" s="42"/>
      <c r="R1315" s="588"/>
      <c r="S1315" s="587"/>
      <c r="T1315" s="217"/>
      <c r="U1315" s="288"/>
      <c r="V1315" s="288"/>
      <c r="W1315" s="203"/>
      <c r="X1315" s="203"/>
    </row>
    <row r="1316" spans="1:24" ht="15" x14ac:dyDescent="0.2">
      <c r="A1316" s="496" t="s">
        <v>1514</v>
      </c>
      <c r="B1316" s="589">
        <v>959</v>
      </c>
      <c r="C1316" s="496" t="s">
        <v>605</v>
      </c>
      <c r="D1316" s="496">
        <v>13</v>
      </c>
      <c r="E1316" s="496" t="s">
        <v>1657</v>
      </c>
      <c r="F1316" s="490" t="s">
        <v>1139</v>
      </c>
      <c r="G1316" s="588"/>
      <c r="H1316" s="587"/>
      <c r="I1316" s="588">
        <v>20</v>
      </c>
      <c r="J1316" s="587"/>
      <c r="K1316" s="43">
        <f t="shared" si="426"/>
        <v>20</v>
      </c>
      <c r="L1316" s="43">
        <f t="shared" si="427"/>
        <v>0</v>
      </c>
      <c r="M1316" s="217"/>
      <c r="N1316" s="42"/>
      <c r="R1316" s="588"/>
      <c r="S1316" s="587"/>
      <c r="T1316" s="217"/>
      <c r="U1316" s="288"/>
      <c r="V1316" s="288"/>
      <c r="W1316" s="203"/>
      <c r="X1316" s="203"/>
    </row>
    <row r="1317" spans="1:24" ht="15" hidden="1" x14ac:dyDescent="0.2">
      <c r="A1317" s="592" t="s">
        <v>1515</v>
      </c>
      <c r="B1317" s="585">
        <v>959</v>
      </c>
      <c r="C1317" s="586" t="s">
        <v>605</v>
      </c>
      <c r="D1317" s="586">
        <v>13</v>
      </c>
      <c r="E1317" s="616" t="s">
        <v>1535</v>
      </c>
      <c r="F1317" s="586"/>
      <c r="G1317" s="590">
        <f>G1318</f>
        <v>0</v>
      </c>
      <c r="H1317" s="590">
        <f>H1318</f>
        <v>0</v>
      </c>
      <c r="I1317" s="590">
        <f>I1318</f>
        <v>0</v>
      </c>
      <c r="J1317" s="590">
        <f>J1318</f>
        <v>0</v>
      </c>
      <c r="K1317" s="591">
        <f t="shared" si="426"/>
        <v>0</v>
      </c>
      <c r="L1317" s="591">
        <f t="shared" si="427"/>
        <v>0</v>
      </c>
      <c r="M1317" s="217"/>
      <c r="N1317" s="42"/>
      <c r="R1317" s="590">
        <f>R1318</f>
        <v>21</v>
      </c>
      <c r="S1317" s="590">
        <f>S1318</f>
        <v>0</v>
      </c>
      <c r="T1317" s="217"/>
      <c r="U1317" s="288"/>
      <c r="V1317" s="288"/>
      <c r="W1317" s="203"/>
      <c r="X1317" s="203"/>
    </row>
    <row r="1318" spans="1:24" ht="15" hidden="1" x14ac:dyDescent="0.2">
      <c r="A1318" s="592" t="s">
        <v>1513</v>
      </c>
      <c r="B1318" s="585">
        <v>959</v>
      </c>
      <c r="C1318" s="586" t="s">
        <v>605</v>
      </c>
      <c r="D1318" s="586">
        <v>13</v>
      </c>
      <c r="E1318" s="616" t="s">
        <v>1557</v>
      </c>
      <c r="F1318" s="586"/>
      <c r="G1318" s="590">
        <f>SUM(G1319:G1320)</f>
        <v>0</v>
      </c>
      <c r="H1318" s="590">
        <f>SUM(H1319:H1320)</f>
        <v>0</v>
      </c>
      <c r="I1318" s="590">
        <f>SUM(I1319:I1320)</f>
        <v>0</v>
      </c>
      <c r="J1318" s="590">
        <f>SUM(J1319:J1320)</f>
        <v>0</v>
      </c>
      <c r="K1318" s="590">
        <f t="shared" si="426"/>
        <v>0</v>
      </c>
      <c r="L1318" s="590">
        <f t="shared" si="427"/>
        <v>0</v>
      </c>
      <c r="M1318" s="217"/>
      <c r="N1318" s="42"/>
      <c r="R1318" s="590">
        <f>SUM(R1319:R1320)</f>
        <v>21</v>
      </c>
      <c r="S1318" s="590">
        <f>SUM(S1319:S1320)</f>
        <v>0</v>
      </c>
      <c r="T1318" s="217"/>
      <c r="U1318" s="288"/>
      <c r="V1318" s="288"/>
      <c r="W1318" s="203"/>
      <c r="X1318" s="203"/>
    </row>
    <row r="1319" spans="1:24" ht="15" hidden="1" x14ac:dyDescent="0.2">
      <c r="A1319" s="124" t="s">
        <v>834</v>
      </c>
      <c r="B1319" s="589">
        <v>959</v>
      </c>
      <c r="C1319" s="496" t="s">
        <v>605</v>
      </c>
      <c r="D1319" s="496">
        <v>13</v>
      </c>
      <c r="E1319" s="490" t="s">
        <v>1557</v>
      </c>
      <c r="F1319" s="490" t="s">
        <v>634</v>
      </c>
      <c r="G1319" s="588"/>
      <c r="H1319" s="587"/>
      <c r="I1319" s="588"/>
      <c r="J1319" s="587"/>
      <c r="K1319" s="43">
        <f t="shared" si="426"/>
        <v>0</v>
      </c>
      <c r="L1319" s="43">
        <f t="shared" si="427"/>
        <v>0</v>
      </c>
      <c r="M1319" s="217"/>
      <c r="N1319" s="42"/>
      <c r="R1319" s="588">
        <v>0</v>
      </c>
      <c r="S1319" s="587">
        <v>0</v>
      </c>
      <c r="T1319" s="217"/>
      <c r="U1319" s="288"/>
      <c r="V1319" s="288"/>
      <c r="W1319" s="203"/>
      <c r="X1319" s="203"/>
    </row>
    <row r="1320" spans="1:24" ht="15" hidden="1" x14ac:dyDescent="0.2">
      <c r="A1320" s="496" t="s">
        <v>1514</v>
      </c>
      <c r="B1320" s="589">
        <v>959</v>
      </c>
      <c r="C1320" s="496" t="s">
        <v>605</v>
      </c>
      <c r="D1320" s="496">
        <v>13</v>
      </c>
      <c r="E1320" s="490" t="s">
        <v>1557</v>
      </c>
      <c r="F1320" s="490" t="s">
        <v>1139</v>
      </c>
      <c r="G1320" s="588"/>
      <c r="H1320" s="587"/>
      <c r="I1320" s="588"/>
      <c r="J1320" s="587"/>
      <c r="K1320" s="43">
        <f t="shared" si="426"/>
        <v>0</v>
      </c>
      <c r="L1320" s="43">
        <f t="shared" si="427"/>
        <v>0</v>
      </c>
      <c r="M1320" s="217"/>
      <c r="N1320" s="42"/>
      <c r="R1320" s="588">
        <v>21</v>
      </c>
      <c r="S1320" s="587">
        <v>0</v>
      </c>
      <c r="T1320" s="217"/>
      <c r="U1320" s="288"/>
      <c r="V1320" s="288"/>
      <c r="W1320" s="203"/>
      <c r="X1320" s="203"/>
    </row>
    <row r="1321" spans="1:24" ht="15" x14ac:dyDescent="0.2">
      <c r="A1321" s="543" t="s">
        <v>1973</v>
      </c>
      <c r="B1321" s="700">
        <v>959</v>
      </c>
      <c r="C1321" s="543" t="s">
        <v>605</v>
      </c>
      <c r="D1321" s="543">
        <v>13</v>
      </c>
      <c r="E1321" s="544" t="s">
        <v>1976</v>
      </c>
      <c r="F1321" s="543"/>
      <c r="G1321" s="701">
        <f>G1322</f>
        <v>199.5</v>
      </c>
      <c r="H1321" s="701">
        <f t="shared" ref="H1321:L1323" si="428">H1322</f>
        <v>0</v>
      </c>
      <c r="I1321" s="701">
        <f t="shared" si="428"/>
        <v>199.5</v>
      </c>
      <c r="J1321" s="701">
        <f t="shared" si="428"/>
        <v>0</v>
      </c>
      <c r="K1321" s="701">
        <f t="shared" si="428"/>
        <v>0</v>
      </c>
      <c r="L1321" s="701">
        <f t="shared" si="428"/>
        <v>0</v>
      </c>
      <c r="M1321" s="217"/>
      <c r="N1321" s="42"/>
      <c r="R1321" s="588"/>
      <c r="S1321" s="587"/>
      <c r="T1321" s="217"/>
      <c r="U1321" s="288"/>
      <c r="V1321" s="288"/>
      <c r="W1321" s="203"/>
      <c r="X1321" s="203"/>
    </row>
    <row r="1322" spans="1:24" ht="15" x14ac:dyDescent="0.2">
      <c r="A1322" s="543" t="s">
        <v>1974</v>
      </c>
      <c r="B1322" s="700">
        <v>959</v>
      </c>
      <c r="C1322" s="543" t="s">
        <v>605</v>
      </c>
      <c r="D1322" s="543">
        <v>13</v>
      </c>
      <c r="E1322" s="544" t="s">
        <v>1977</v>
      </c>
      <c r="F1322" s="543"/>
      <c r="G1322" s="701">
        <f>G1323</f>
        <v>199.5</v>
      </c>
      <c r="H1322" s="701">
        <f t="shared" si="428"/>
        <v>0</v>
      </c>
      <c r="I1322" s="701">
        <f t="shared" si="428"/>
        <v>199.5</v>
      </c>
      <c r="J1322" s="701">
        <f t="shared" si="428"/>
        <v>0</v>
      </c>
      <c r="K1322" s="701">
        <f t="shared" si="428"/>
        <v>0</v>
      </c>
      <c r="L1322" s="701">
        <f t="shared" si="428"/>
        <v>0</v>
      </c>
      <c r="M1322" s="217"/>
      <c r="N1322" s="42"/>
      <c r="R1322" s="588"/>
      <c r="S1322" s="587"/>
      <c r="T1322" s="217"/>
      <c r="U1322" s="288"/>
      <c r="V1322" s="288"/>
      <c r="W1322" s="203"/>
      <c r="X1322" s="203"/>
    </row>
    <row r="1323" spans="1:24" ht="15" x14ac:dyDescent="0.2">
      <c r="A1323" s="543" t="s">
        <v>1975</v>
      </c>
      <c r="B1323" s="700">
        <v>959</v>
      </c>
      <c r="C1323" s="543" t="s">
        <v>605</v>
      </c>
      <c r="D1323" s="543">
        <v>13</v>
      </c>
      <c r="E1323" s="544" t="s">
        <v>1978</v>
      </c>
      <c r="F1323" s="543"/>
      <c r="G1323" s="701">
        <f>G1324</f>
        <v>199.5</v>
      </c>
      <c r="H1323" s="701">
        <f t="shared" si="428"/>
        <v>0</v>
      </c>
      <c r="I1323" s="701">
        <f t="shared" si="428"/>
        <v>199.5</v>
      </c>
      <c r="J1323" s="701">
        <f t="shared" si="428"/>
        <v>0</v>
      </c>
      <c r="K1323" s="701">
        <f t="shared" si="428"/>
        <v>0</v>
      </c>
      <c r="L1323" s="701">
        <f t="shared" si="428"/>
        <v>0</v>
      </c>
      <c r="M1323" s="217"/>
      <c r="N1323" s="42"/>
      <c r="R1323" s="588"/>
      <c r="S1323" s="587"/>
      <c r="T1323" s="217"/>
      <c r="U1323" s="288"/>
      <c r="V1323" s="288"/>
      <c r="W1323" s="203"/>
      <c r="X1323" s="203"/>
    </row>
    <row r="1324" spans="1:24" ht="15" x14ac:dyDescent="0.2">
      <c r="A1324" s="490" t="s">
        <v>834</v>
      </c>
      <c r="B1324" s="589">
        <v>959</v>
      </c>
      <c r="C1324" s="496" t="s">
        <v>605</v>
      </c>
      <c r="D1324" s="496">
        <v>13</v>
      </c>
      <c r="E1324" s="490" t="s">
        <v>1978</v>
      </c>
      <c r="F1324" s="490" t="s">
        <v>634</v>
      </c>
      <c r="G1324" s="588">
        <v>199.5</v>
      </c>
      <c r="H1324" s="587"/>
      <c r="I1324" s="588">
        <v>199.5</v>
      </c>
      <c r="J1324" s="587"/>
      <c r="K1324" s="43">
        <f>I1324-G1324</f>
        <v>0</v>
      </c>
      <c r="L1324" s="43">
        <f>J1324-H1324</f>
        <v>0</v>
      </c>
      <c r="M1324" s="217"/>
      <c r="N1324" s="42"/>
      <c r="R1324" s="588"/>
      <c r="S1324" s="587"/>
      <c r="T1324" s="217"/>
      <c r="U1324" s="288"/>
      <c r="V1324" s="288"/>
      <c r="W1324" s="203"/>
      <c r="X1324" s="203"/>
    </row>
    <row r="1325" spans="1:24" ht="25.5" x14ac:dyDescent="0.2">
      <c r="A1325" s="746" t="s">
        <v>1297</v>
      </c>
      <c r="B1325" s="306" t="s">
        <v>98</v>
      </c>
      <c r="C1325" s="354" t="s">
        <v>605</v>
      </c>
      <c r="D1325" s="354" t="s">
        <v>620</v>
      </c>
      <c r="E1325" s="450" t="s">
        <v>729</v>
      </c>
      <c r="F1325" s="450"/>
      <c r="G1325" s="591">
        <f>G1329+G1339+G1342+G1326+G1333+G1336</f>
        <v>166</v>
      </c>
      <c r="H1325" s="591">
        <f>H1329+H1339+H1342+H1326+H1333+H1336</f>
        <v>0</v>
      </c>
      <c r="I1325" s="591">
        <f>I1329+I1339+I1342+I1326+I1333+I1336</f>
        <v>166</v>
      </c>
      <c r="J1325" s="591">
        <f>J1329+J1339+J1342+J1326+J1333+J1336</f>
        <v>0</v>
      </c>
      <c r="K1325" s="591">
        <f t="shared" si="426"/>
        <v>0</v>
      </c>
      <c r="L1325" s="591">
        <f t="shared" si="427"/>
        <v>0</v>
      </c>
      <c r="M1325" s="217">
        <f t="shared" si="414"/>
        <v>0</v>
      </c>
      <c r="N1325" s="127" t="e">
        <f>#REF!</f>
        <v>#REF!</v>
      </c>
      <c r="R1325" s="591" t="e">
        <f>R1329+R1339+R1342+R1326+R1333+R1336+#REF!</f>
        <v>#REF!</v>
      </c>
      <c r="S1325" s="591" t="e">
        <f>S1329+S1339+S1342+S1326+S1333+S1336+#REF!</f>
        <v>#REF!</v>
      </c>
      <c r="T1325" s="217">
        <f>I1325-G1325</f>
        <v>0</v>
      </c>
      <c r="U1325" s="498">
        <f>U1329+U1339+U1342+U1326+U1333+U1336</f>
        <v>120</v>
      </c>
      <c r="V1325" s="498">
        <f>V1329+V1339+V1342+V1326+V1333+V1336</f>
        <v>0</v>
      </c>
      <c r="W1325" s="203">
        <f>G1325-I1325</f>
        <v>0</v>
      </c>
      <c r="X1325" s="203">
        <f>K1325+W1325</f>
        <v>0</v>
      </c>
    </row>
    <row r="1326" spans="1:24" ht="25.5" x14ac:dyDescent="0.2">
      <c r="A1326" s="746" t="s">
        <v>743</v>
      </c>
      <c r="B1326" s="306" t="s">
        <v>98</v>
      </c>
      <c r="C1326" s="354" t="s">
        <v>605</v>
      </c>
      <c r="D1326" s="354" t="s">
        <v>620</v>
      </c>
      <c r="E1326" s="450">
        <v>8200100000</v>
      </c>
      <c r="F1326" s="450"/>
      <c r="G1326" s="591">
        <f t="shared" ref="G1326:J1327" si="429">G1327</f>
        <v>10</v>
      </c>
      <c r="H1326" s="591">
        <f t="shared" si="429"/>
        <v>0</v>
      </c>
      <c r="I1326" s="591">
        <f t="shared" si="429"/>
        <v>10</v>
      </c>
      <c r="J1326" s="591">
        <f t="shared" si="429"/>
        <v>0</v>
      </c>
      <c r="K1326" s="591">
        <f t="shared" si="426"/>
        <v>0</v>
      </c>
      <c r="L1326" s="591">
        <f t="shared" si="427"/>
        <v>0</v>
      </c>
      <c r="M1326" s="217">
        <f t="shared" si="414"/>
        <v>0</v>
      </c>
      <c r="N1326" s="127"/>
      <c r="R1326" s="591">
        <f>R1327</f>
        <v>0</v>
      </c>
      <c r="S1326" s="591">
        <f>S1327</f>
        <v>0</v>
      </c>
      <c r="T1326" s="217"/>
      <c r="U1326" s="498">
        <f>U1327</f>
        <v>10</v>
      </c>
      <c r="V1326" s="498">
        <f>V1327</f>
        <v>0</v>
      </c>
      <c r="W1326" s="203"/>
      <c r="X1326" s="203"/>
    </row>
    <row r="1327" spans="1:24" ht="15" x14ac:dyDescent="0.2">
      <c r="A1327" s="746" t="s">
        <v>734</v>
      </c>
      <c r="B1327" s="306" t="s">
        <v>98</v>
      </c>
      <c r="C1327" s="354" t="s">
        <v>605</v>
      </c>
      <c r="D1327" s="354" t="s">
        <v>620</v>
      </c>
      <c r="E1327" s="450">
        <v>8200182460</v>
      </c>
      <c r="F1327" s="450"/>
      <c r="G1327" s="591">
        <f t="shared" si="429"/>
        <v>10</v>
      </c>
      <c r="H1327" s="591">
        <f t="shared" si="429"/>
        <v>0</v>
      </c>
      <c r="I1327" s="591">
        <f t="shared" si="429"/>
        <v>10</v>
      </c>
      <c r="J1327" s="591">
        <f t="shared" si="429"/>
        <v>0</v>
      </c>
      <c r="K1327" s="591">
        <f t="shared" si="426"/>
        <v>0</v>
      </c>
      <c r="L1327" s="591">
        <f t="shared" si="427"/>
        <v>0</v>
      </c>
      <c r="M1327" s="217">
        <f t="shared" si="414"/>
        <v>0</v>
      </c>
      <c r="N1327" s="127"/>
      <c r="R1327" s="591">
        <f>R1328</f>
        <v>0</v>
      </c>
      <c r="S1327" s="591">
        <f>S1328</f>
        <v>0</v>
      </c>
      <c r="T1327" s="217"/>
      <c r="U1327" s="498">
        <f>U1328</f>
        <v>10</v>
      </c>
      <c r="V1327" s="498">
        <f>V1328</f>
        <v>0</v>
      </c>
      <c r="W1327" s="203"/>
      <c r="X1327" s="203"/>
    </row>
    <row r="1328" spans="1:24" ht="15" x14ac:dyDescent="0.2">
      <c r="A1328" s="739" t="s">
        <v>834</v>
      </c>
      <c r="B1328" s="243" t="s">
        <v>98</v>
      </c>
      <c r="C1328" s="353" t="s">
        <v>605</v>
      </c>
      <c r="D1328" s="353" t="s">
        <v>620</v>
      </c>
      <c r="E1328" s="369">
        <v>8200182460</v>
      </c>
      <c r="F1328" s="369" t="s">
        <v>634</v>
      </c>
      <c r="G1328" s="288">
        <v>10</v>
      </c>
      <c r="H1328" s="288"/>
      <c r="I1328" s="288">
        <v>10</v>
      </c>
      <c r="J1328" s="288"/>
      <c r="K1328" s="43">
        <f t="shared" si="426"/>
        <v>0</v>
      </c>
      <c r="L1328" s="43">
        <f t="shared" si="427"/>
        <v>0</v>
      </c>
      <c r="M1328" s="217">
        <f t="shared" si="414"/>
        <v>0</v>
      </c>
      <c r="N1328" s="127"/>
      <c r="R1328" s="288"/>
      <c r="S1328" s="288"/>
      <c r="T1328" s="217"/>
      <c r="U1328" s="288">
        <v>10</v>
      </c>
      <c r="V1328" s="288">
        <v>0</v>
      </c>
      <c r="W1328" s="203"/>
      <c r="X1328" s="203"/>
    </row>
    <row r="1329" spans="1:24" ht="15" x14ac:dyDescent="0.2">
      <c r="A1329" s="746" t="s">
        <v>520</v>
      </c>
      <c r="B1329" s="306" t="s">
        <v>98</v>
      </c>
      <c r="C1329" s="354" t="s">
        <v>605</v>
      </c>
      <c r="D1329" s="354" t="s">
        <v>620</v>
      </c>
      <c r="E1329" s="450" t="s">
        <v>746</v>
      </c>
      <c r="F1329" s="450"/>
      <c r="G1329" s="591">
        <f>G1330</f>
        <v>100</v>
      </c>
      <c r="H1329" s="591">
        <f>H1330</f>
        <v>0</v>
      </c>
      <c r="I1329" s="591">
        <f>I1330</f>
        <v>100</v>
      </c>
      <c r="J1329" s="591">
        <f>J1330</f>
        <v>0</v>
      </c>
      <c r="K1329" s="591">
        <f t="shared" si="426"/>
        <v>0</v>
      </c>
      <c r="L1329" s="591">
        <f t="shared" si="427"/>
        <v>0</v>
      </c>
      <c r="M1329" s="217">
        <f t="shared" si="414"/>
        <v>0</v>
      </c>
      <c r="N1329" s="127"/>
      <c r="R1329" s="591">
        <f>R1330</f>
        <v>0</v>
      </c>
      <c r="S1329" s="591">
        <f>S1330</f>
        <v>0</v>
      </c>
      <c r="T1329" s="217"/>
      <c r="U1329" s="498">
        <f>U1330</f>
        <v>20</v>
      </c>
      <c r="V1329" s="498">
        <f>V1330</f>
        <v>0</v>
      </c>
      <c r="W1329" s="203">
        <f>G1329-I1329</f>
        <v>0</v>
      </c>
      <c r="X1329" s="203">
        <f>K1329+W1329</f>
        <v>0</v>
      </c>
    </row>
    <row r="1330" spans="1:24" ht="15" x14ac:dyDescent="0.2">
      <c r="A1330" s="746" t="s">
        <v>734</v>
      </c>
      <c r="B1330" s="306" t="s">
        <v>98</v>
      </c>
      <c r="C1330" s="354" t="s">
        <v>605</v>
      </c>
      <c r="D1330" s="354" t="s">
        <v>620</v>
      </c>
      <c r="E1330" s="450">
        <v>8200282460</v>
      </c>
      <c r="F1330" s="450"/>
      <c r="G1330" s="591">
        <f>G1331+G1332</f>
        <v>100</v>
      </c>
      <c r="H1330" s="591">
        <f>H1331+H1332</f>
        <v>0</v>
      </c>
      <c r="I1330" s="591">
        <f>I1331+I1332</f>
        <v>100</v>
      </c>
      <c r="J1330" s="591">
        <f>J1331+J1332</f>
        <v>0</v>
      </c>
      <c r="K1330" s="591">
        <f t="shared" si="426"/>
        <v>0</v>
      </c>
      <c r="L1330" s="591">
        <f t="shared" si="427"/>
        <v>0</v>
      </c>
      <c r="M1330" s="217">
        <f t="shared" si="414"/>
        <v>0</v>
      </c>
      <c r="N1330" s="127"/>
      <c r="R1330" s="591">
        <f>R1331</f>
        <v>0</v>
      </c>
      <c r="S1330" s="591">
        <f>S1331</f>
        <v>0</v>
      </c>
      <c r="T1330" s="217"/>
      <c r="U1330" s="498">
        <f>U1331</f>
        <v>20</v>
      </c>
      <c r="V1330" s="498">
        <f>V1331</f>
        <v>0</v>
      </c>
      <c r="W1330" s="203">
        <f>G1330-I1330</f>
        <v>0</v>
      </c>
      <c r="X1330" s="203">
        <f>K1330+W1330</f>
        <v>0</v>
      </c>
    </row>
    <row r="1331" spans="1:24" ht="15" hidden="1" customHeight="1" x14ac:dyDescent="0.2">
      <c r="A1331" s="124" t="s">
        <v>834</v>
      </c>
      <c r="B1331" s="243" t="s">
        <v>98</v>
      </c>
      <c r="C1331" s="353" t="s">
        <v>605</v>
      </c>
      <c r="D1331" s="353" t="s">
        <v>620</v>
      </c>
      <c r="E1331" s="369">
        <v>8200282460</v>
      </c>
      <c r="F1331" s="369" t="s">
        <v>634</v>
      </c>
      <c r="G1331" s="288">
        <v>0</v>
      </c>
      <c r="H1331" s="288"/>
      <c r="I1331" s="288">
        <v>0</v>
      </c>
      <c r="J1331" s="288"/>
      <c r="K1331" s="43">
        <f t="shared" si="426"/>
        <v>0</v>
      </c>
      <c r="L1331" s="43">
        <f t="shared" si="427"/>
        <v>0</v>
      </c>
      <c r="M1331" s="217">
        <f t="shared" si="414"/>
        <v>0</v>
      </c>
      <c r="N1331" s="127"/>
      <c r="R1331" s="288"/>
      <c r="S1331" s="288"/>
      <c r="T1331" s="217"/>
      <c r="U1331" s="288">
        <v>20</v>
      </c>
      <c r="V1331" s="288">
        <v>0</v>
      </c>
      <c r="W1331" s="203">
        <f>G1331-I1331</f>
        <v>0</v>
      </c>
      <c r="X1331" s="203">
        <f>K1331+W1331</f>
        <v>0</v>
      </c>
    </row>
    <row r="1332" spans="1:24" ht="15" x14ac:dyDescent="0.2">
      <c r="A1332" s="739" t="s">
        <v>164</v>
      </c>
      <c r="B1332" s="243" t="s">
        <v>98</v>
      </c>
      <c r="C1332" s="353" t="s">
        <v>605</v>
      </c>
      <c r="D1332" s="353" t="s">
        <v>620</v>
      </c>
      <c r="E1332" s="369">
        <v>8200282460</v>
      </c>
      <c r="F1332" s="369" t="s">
        <v>132</v>
      </c>
      <c r="G1332" s="265">
        <v>100</v>
      </c>
      <c r="H1332" s="288"/>
      <c r="I1332" s="265">
        <v>100</v>
      </c>
      <c r="J1332" s="288"/>
      <c r="K1332" s="43">
        <f t="shared" si="426"/>
        <v>0</v>
      </c>
      <c r="L1332" s="43">
        <f t="shared" si="427"/>
        <v>0</v>
      </c>
      <c r="M1332" s="217"/>
      <c r="N1332" s="127"/>
      <c r="R1332" s="265">
        <v>100</v>
      </c>
      <c r="S1332" s="288"/>
      <c r="T1332" s="217"/>
      <c r="U1332" s="288"/>
      <c r="V1332" s="288"/>
      <c r="W1332" s="203"/>
      <c r="X1332" s="203"/>
    </row>
    <row r="1333" spans="1:24" ht="15" x14ac:dyDescent="0.2">
      <c r="A1333" s="746" t="s">
        <v>1316</v>
      </c>
      <c r="B1333" s="306" t="s">
        <v>98</v>
      </c>
      <c r="C1333" s="354" t="s">
        <v>605</v>
      </c>
      <c r="D1333" s="354" t="s">
        <v>620</v>
      </c>
      <c r="E1333" s="450">
        <v>8200300000</v>
      </c>
      <c r="F1333" s="450"/>
      <c r="G1333" s="591">
        <f t="shared" ref="G1333:J1337" si="430">G1334</f>
        <v>10</v>
      </c>
      <c r="H1333" s="591">
        <f t="shared" si="430"/>
        <v>0</v>
      </c>
      <c r="I1333" s="591">
        <f t="shared" si="430"/>
        <v>10</v>
      </c>
      <c r="J1333" s="591">
        <f t="shared" si="430"/>
        <v>0</v>
      </c>
      <c r="K1333" s="591">
        <f t="shared" si="426"/>
        <v>0</v>
      </c>
      <c r="L1333" s="591">
        <f t="shared" si="427"/>
        <v>0</v>
      </c>
      <c r="M1333" s="217">
        <f t="shared" si="414"/>
        <v>0</v>
      </c>
      <c r="N1333" s="127"/>
      <c r="R1333" s="591">
        <f t="shared" ref="R1333:S1337" si="431">R1334</f>
        <v>10</v>
      </c>
      <c r="S1333" s="591">
        <f t="shared" si="431"/>
        <v>0</v>
      </c>
      <c r="T1333" s="217"/>
      <c r="U1333" s="498">
        <f t="shared" ref="U1333:V1337" si="432">U1334</f>
        <v>10</v>
      </c>
      <c r="V1333" s="498">
        <f t="shared" si="432"/>
        <v>0</v>
      </c>
      <c r="W1333" s="203"/>
      <c r="X1333" s="203"/>
    </row>
    <row r="1334" spans="1:24" ht="15" x14ac:dyDescent="0.2">
      <c r="A1334" s="746" t="s">
        <v>734</v>
      </c>
      <c r="B1334" s="306" t="s">
        <v>98</v>
      </c>
      <c r="C1334" s="354" t="s">
        <v>605</v>
      </c>
      <c r="D1334" s="354" t="s">
        <v>620</v>
      </c>
      <c r="E1334" s="450">
        <v>8200382460</v>
      </c>
      <c r="F1334" s="450"/>
      <c r="G1334" s="591">
        <f t="shared" si="430"/>
        <v>10</v>
      </c>
      <c r="H1334" s="591">
        <f t="shared" si="430"/>
        <v>0</v>
      </c>
      <c r="I1334" s="591">
        <f t="shared" si="430"/>
        <v>10</v>
      </c>
      <c r="J1334" s="591">
        <f t="shared" si="430"/>
        <v>0</v>
      </c>
      <c r="K1334" s="591">
        <f t="shared" si="426"/>
        <v>0</v>
      </c>
      <c r="L1334" s="591">
        <f t="shared" si="427"/>
        <v>0</v>
      </c>
      <c r="M1334" s="217">
        <f t="shared" si="414"/>
        <v>0</v>
      </c>
      <c r="N1334" s="127"/>
      <c r="R1334" s="591">
        <f t="shared" si="431"/>
        <v>10</v>
      </c>
      <c r="S1334" s="591">
        <f t="shared" si="431"/>
        <v>0</v>
      </c>
      <c r="T1334" s="217"/>
      <c r="U1334" s="498">
        <f t="shared" si="432"/>
        <v>10</v>
      </c>
      <c r="V1334" s="498">
        <f t="shared" si="432"/>
        <v>0</v>
      </c>
      <c r="W1334" s="203"/>
      <c r="X1334" s="203"/>
    </row>
    <row r="1335" spans="1:24" ht="15" x14ac:dyDescent="0.2">
      <c r="A1335" s="739" t="s">
        <v>834</v>
      </c>
      <c r="B1335" s="243" t="s">
        <v>98</v>
      </c>
      <c r="C1335" s="353" t="s">
        <v>605</v>
      </c>
      <c r="D1335" s="353" t="s">
        <v>620</v>
      </c>
      <c r="E1335" s="369">
        <v>8200382460</v>
      </c>
      <c r="F1335" s="369" t="s">
        <v>634</v>
      </c>
      <c r="G1335" s="288">
        <v>10</v>
      </c>
      <c r="H1335" s="288"/>
      <c r="I1335" s="288">
        <v>10</v>
      </c>
      <c r="J1335" s="288"/>
      <c r="K1335" s="43">
        <f t="shared" si="426"/>
        <v>0</v>
      </c>
      <c r="L1335" s="43">
        <f t="shared" si="427"/>
        <v>0</v>
      </c>
      <c r="M1335" s="217">
        <f t="shared" si="414"/>
        <v>0</v>
      </c>
      <c r="N1335" s="127"/>
      <c r="R1335" s="288">
        <v>10</v>
      </c>
      <c r="S1335" s="288"/>
      <c r="T1335" s="217"/>
      <c r="U1335" s="288">
        <v>10</v>
      </c>
      <c r="V1335" s="288">
        <v>0</v>
      </c>
      <c r="W1335" s="203"/>
      <c r="X1335" s="203"/>
    </row>
    <row r="1336" spans="1:24" ht="25.5" hidden="1" x14ac:dyDescent="0.2">
      <c r="A1336" s="451" t="s">
        <v>518</v>
      </c>
      <c r="B1336" s="306" t="s">
        <v>98</v>
      </c>
      <c r="C1336" s="354" t="s">
        <v>605</v>
      </c>
      <c r="D1336" s="354" t="s">
        <v>620</v>
      </c>
      <c r="E1336" s="450">
        <v>8200500000</v>
      </c>
      <c r="F1336" s="450"/>
      <c r="G1336" s="498">
        <f t="shared" si="430"/>
        <v>0</v>
      </c>
      <c r="H1336" s="498">
        <f t="shared" si="430"/>
        <v>0</v>
      </c>
      <c r="I1336" s="591">
        <f t="shared" si="430"/>
        <v>0</v>
      </c>
      <c r="J1336" s="591">
        <f t="shared" si="430"/>
        <v>0</v>
      </c>
      <c r="K1336" s="591">
        <f t="shared" si="426"/>
        <v>0</v>
      </c>
      <c r="L1336" s="591">
        <f t="shared" si="427"/>
        <v>0</v>
      </c>
      <c r="M1336" s="217">
        <f t="shared" si="414"/>
        <v>0</v>
      </c>
      <c r="N1336" s="127"/>
      <c r="R1336" s="591">
        <f t="shared" si="431"/>
        <v>30</v>
      </c>
      <c r="S1336" s="591">
        <f t="shared" si="431"/>
        <v>0</v>
      </c>
      <c r="T1336" s="217"/>
      <c r="U1336" s="498">
        <f t="shared" si="432"/>
        <v>30</v>
      </c>
      <c r="V1336" s="498">
        <f t="shared" si="432"/>
        <v>0</v>
      </c>
      <c r="W1336" s="203"/>
      <c r="X1336" s="203"/>
    </row>
    <row r="1337" spans="1:24" ht="15" hidden="1" x14ac:dyDescent="0.2">
      <c r="A1337" s="451" t="s">
        <v>734</v>
      </c>
      <c r="B1337" s="306" t="s">
        <v>98</v>
      </c>
      <c r="C1337" s="354" t="s">
        <v>605</v>
      </c>
      <c r="D1337" s="354" t="s">
        <v>620</v>
      </c>
      <c r="E1337" s="450">
        <v>8200582460</v>
      </c>
      <c r="F1337" s="450"/>
      <c r="G1337" s="498">
        <f t="shared" si="430"/>
        <v>0</v>
      </c>
      <c r="H1337" s="498">
        <f t="shared" si="430"/>
        <v>0</v>
      </c>
      <c r="I1337" s="591">
        <f t="shared" si="430"/>
        <v>0</v>
      </c>
      <c r="J1337" s="591">
        <f t="shared" si="430"/>
        <v>0</v>
      </c>
      <c r="K1337" s="591">
        <f t="shared" si="426"/>
        <v>0</v>
      </c>
      <c r="L1337" s="591">
        <f t="shared" si="427"/>
        <v>0</v>
      </c>
      <c r="M1337" s="217">
        <f t="shared" si="414"/>
        <v>0</v>
      </c>
      <c r="N1337" s="127"/>
      <c r="R1337" s="591">
        <f t="shared" si="431"/>
        <v>30</v>
      </c>
      <c r="S1337" s="591">
        <f t="shared" si="431"/>
        <v>0</v>
      </c>
      <c r="T1337" s="217"/>
      <c r="U1337" s="498">
        <f t="shared" si="432"/>
        <v>30</v>
      </c>
      <c r="V1337" s="498">
        <f t="shared" si="432"/>
        <v>0</v>
      </c>
      <c r="W1337" s="203"/>
      <c r="X1337" s="203"/>
    </row>
    <row r="1338" spans="1:24" ht="15" hidden="1" x14ac:dyDescent="0.2">
      <c r="A1338" s="124" t="s">
        <v>834</v>
      </c>
      <c r="B1338" s="243" t="s">
        <v>98</v>
      </c>
      <c r="C1338" s="353" t="s">
        <v>605</v>
      </c>
      <c r="D1338" s="353" t="s">
        <v>620</v>
      </c>
      <c r="E1338" s="369">
        <v>8200582460</v>
      </c>
      <c r="F1338" s="369" t="s">
        <v>634</v>
      </c>
      <c r="G1338" s="288">
        <v>0</v>
      </c>
      <c r="H1338" s="288"/>
      <c r="I1338" s="288">
        <v>0</v>
      </c>
      <c r="J1338" s="288"/>
      <c r="K1338" s="43">
        <f t="shared" si="426"/>
        <v>0</v>
      </c>
      <c r="L1338" s="43">
        <f t="shared" si="427"/>
        <v>0</v>
      </c>
      <c r="M1338" s="217">
        <f t="shared" si="414"/>
        <v>0</v>
      </c>
      <c r="N1338" s="127"/>
      <c r="R1338" s="288">
        <v>30</v>
      </c>
      <c r="S1338" s="288"/>
      <c r="T1338" s="217"/>
      <c r="U1338" s="288">
        <v>30</v>
      </c>
      <c r="V1338" s="288">
        <v>0</v>
      </c>
      <c r="W1338" s="203"/>
      <c r="X1338" s="203"/>
    </row>
    <row r="1339" spans="1:24" ht="15" x14ac:dyDescent="0.2">
      <c r="A1339" s="746" t="s">
        <v>733</v>
      </c>
      <c r="B1339" s="306" t="s">
        <v>98</v>
      </c>
      <c r="C1339" s="354" t="s">
        <v>605</v>
      </c>
      <c r="D1339" s="354" t="s">
        <v>620</v>
      </c>
      <c r="E1339" s="450" t="s">
        <v>730</v>
      </c>
      <c r="F1339" s="450"/>
      <c r="G1339" s="591">
        <f t="shared" ref="G1339:J1340" si="433">G1340</f>
        <v>20</v>
      </c>
      <c r="H1339" s="591">
        <f t="shared" si="433"/>
        <v>0</v>
      </c>
      <c r="I1339" s="591">
        <f t="shared" si="433"/>
        <v>20</v>
      </c>
      <c r="J1339" s="591">
        <f t="shared" si="433"/>
        <v>0</v>
      </c>
      <c r="K1339" s="591">
        <f t="shared" si="426"/>
        <v>0</v>
      </c>
      <c r="L1339" s="591">
        <f t="shared" si="427"/>
        <v>0</v>
      </c>
      <c r="M1339" s="217">
        <f t="shared" si="414"/>
        <v>0</v>
      </c>
      <c r="N1339" s="127"/>
      <c r="R1339" s="591">
        <f>R1340</f>
        <v>20</v>
      </c>
      <c r="S1339" s="591">
        <f>S1340</f>
        <v>0</v>
      </c>
      <c r="T1339" s="217"/>
      <c r="U1339" s="498">
        <f>U1340</f>
        <v>20</v>
      </c>
      <c r="V1339" s="498">
        <f>V1340</f>
        <v>0</v>
      </c>
      <c r="W1339" s="203">
        <f t="shared" ref="W1339:W1344" si="434">G1339-I1339</f>
        <v>0</v>
      </c>
      <c r="X1339" s="203">
        <f t="shared" ref="X1339:X1344" si="435">K1339+W1339</f>
        <v>0</v>
      </c>
    </row>
    <row r="1340" spans="1:24" ht="15" x14ac:dyDescent="0.2">
      <c r="A1340" s="746" t="s">
        <v>734</v>
      </c>
      <c r="B1340" s="306" t="s">
        <v>98</v>
      </c>
      <c r="C1340" s="354" t="s">
        <v>605</v>
      </c>
      <c r="D1340" s="354" t="s">
        <v>620</v>
      </c>
      <c r="E1340" s="450" t="s">
        <v>731</v>
      </c>
      <c r="F1340" s="450"/>
      <c r="G1340" s="591">
        <f t="shared" si="433"/>
        <v>20</v>
      </c>
      <c r="H1340" s="591">
        <f t="shared" si="433"/>
        <v>0</v>
      </c>
      <c r="I1340" s="591">
        <f t="shared" si="433"/>
        <v>20</v>
      </c>
      <c r="J1340" s="591">
        <f t="shared" si="433"/>
        <v>0</v>
      </c>
      <c r="K1340" s="591">
        <f t="shared" si="426"/>
        <v>0</v>
      </c>
      <c r="L1340" s="591">
        <f t="shared" si="427"/>
        <v>0</v>
      </c>
      <c r="M1340" s="217">
        <f t="shared" si="414"/>
        <v>0</v>
      </c>
      <c r="N1340" s="127"/>
      <c r="R1340" s="591">
        <f>R1341</f>
        <v>20</v>
      </c>
      <c r="S1340" s="591">
        <f>S1341</f>
        <v>0</v>
      </c>
      <c r="T1340" s="217"/>
      <c r="U1340" s="498">
        <f>U1341</f>
        <v>20</v>
      </c>
      <c r="V1340" s="498">
        <f>V1341</f>
        <v>0</v>
      </c>
      <c r="W1340" s="203">
        <f t="shared" si="434"/>
        <v>0</v>
      </c>
      <c r="X1340" s="203">
        <f t="shared" si="435"/>
        <v>0</v>
      </c>
    </row>
    <row r="1341" spans="1:24" ht="15" x14ac:dyDescent="0.2">
      <c r="A1341" s="739" t="s">
        <v>834</v>
      </c>
      <c r="B1341" s="243" t="s">
        <v>98</v>
      </c>
      <c r="C1341" s="353" t="s">
        <v>605</v>
      </c>
      <c r="D1341" s="353" t="s">
        <v>620</v>
      </c>
      <c r="E1341" s="369" t="s">
        <v>731</v>
      </c>
      <c r="F1341" s="369" t="s">
        <v>634</v>
      </c>
      <c r="G1341" s="288">
        <f>15+5</f>
        <v>20</v>
      </c>
      <c r="H1341" s="288"/>
      <c r="I1341" s="288">
        <f>15+5</f>
        <v>20</v>
      </c>
      <c r="J1341" s="288"/>
      <c r="K1341" s="43">
        <f t="shared" si="426"/>
        <v>0</v>
      </c>
      <c r="L1341" s="43">
        <f t="shared" si="427"/>
        <v>0</v>
      </c>
      <c r="M1341" s="217">
        <f t="shared" si="414"/>
        <v>0</v>
      </c>
      <c r="N1341" s="127"/>
      <c r="R1341" s="288">
        <f>15+5</f>
        <v>20</v>
      </c>
      <c r="S1341" s="288"/>
      <c r="T1341" s="217"/>
      <c r="U1341" s="288">
        <v>20</v>
      </c>
      <c r="V1341" s="288">
        <v>0</v>
      </c>
      <c r="W1341" s="203">
        <f t="shared" si="434"/>
        <v>0</v>
      </c>
      <c r="X1341" s="203">
        <f t="shared" si="435"/>
        <v>0</v>
      </c>
    </row>
    <row r="1342" spans="1:24" ht="31.5" customHeight="1" x14ac:dyDescent="0.2">
      <c r="A1342" s="746" t="s">
        <v>745</v>
      </c>
      <c r="B1342" s="306" t="s">
        <v>98</v>
      </c>
      <c r="C1342" s="354" t="s">
        <v>605</v>
      </c>
      <c r="D1342" s="354" t="s">
        <v>620</v>
      </c>
      <c r="E1342" s="450" t="s">
        <v>742</v>
      </c>
      <c r="F1342" s="450"/>
      <c r="G1342" s="591">
        <f>G1343+G1346</f>
        <v>26</v>
      </c>
      <c r="H1342" s="591">
        <f>H1343+H1346</f>
        <v>0</v>
      </c>
      <c r="I1342" s="591">
        <f>I1343+I1346</f>
        <v>26</v>
      </c>
      <c r="J1342" s="591">
        <f>J1343+J1346</f>
        <v>0</v>
      </c>
      <c r="K1342" s="591">
        <f t="shared" si="426"/>
        <v>0</v>
      </c>
      <c r="L1342" s="591">
        <f t="shared" si="427"/>
        <v>0</v>
      </c>
      <c r="M1342" s="217">
        <f t="shared" si="414"/>
        <v>0</v>
      </c>
      <c r="N1342" s="127"/>
      <c r="R1342" s="591">
        <f>R1343+R1346</f>
        <v>40</v>
      </c>
      <c r="S1342" s="591">
        <f>S1343+S1346</f>
        <v>0</v>
      </c>
      <c r="T1342" s="217"/>
      <c r="U1342" s="498">
        <f>U1343+U1346</f>
        <v>30</v>
      </c>
      <c r="V1342" s="498">
        <f>V1343+V1346</f>
        <v>0</v>
      </c>
      <c r="W1342" s="203">
        <f t="shared" si="434"/>
        <v>0</v>
      </c>
      <c r="X1342" s="203">
        <f t="shared" si="435"/>
        <v>0</v>
      </c>
    </row>
    <row r="1343" spans="1:24" ht="15" x14ac:dyDescent="0.2">
      <c r="A1343" s="746" t="s">
        <v>734</v>
      </c>
      <c r="B1343" s="306" t="s">
        <v>98</v>
      </c>
      <c r="C1343" s="354" t="s">
        <v>605</v>
      </c>
      <c r="D1343" s="354" t="s">
        <v>620</v>
      </c>
      <c r="E1343" s="450" t="s">
        <v>1010</v>
      </c>
      <c r="F1343" s="450"/>
      <c r="G1343" s="591">
        <f>G1344+G1345</f>
        <v>26</v>
      </c>
      <c r="H1343" s="591">
        <f>H1344+H1345</f>
        <v>0</v>
      </c>
      <c r="I1343" s="591">
        <f>I1344+I1345</f>
        <v>26</v>
      </c>
      <c r="J1343" s="591">
        <f>J1344+J1345</f>
        <v>0</v>
      </c>
      <c r="K1343" s="591">
        <f t="shared" si="426"/>
        <v>0</v>
      </c>
      <c r="L1343" s="591">
        <f t="shared" si="427"/>
        <v>0</v>
      </c>
      <c r="M1343" s="217">
        <f t="shared" si="414"/>
        <v>0</v>
      </c>
      <c r="N1343" s="127"/>
      <c r="R1343" s="591">
        <f>R1344+R1345</f>
        <v>40</v>
      </c>
      <c r="S1343" s="591">
        <f>S1344+S1345</f>
        <v>0</v>
      </c>
      <c r="T1343" s="217"/>
      <c r="U1343" s="498">
        <f>U1344+U1345</f>
        <v>30</v>
      </c>
      <c r="V1343" s="498">
        <f>V1344+V1345</f>
        <v>0</v>
      </c>
      <c r="W1343" s="203">
        <f t="shared" si="434"/>
        <v>0</v>
      </c>
      <c r="X1343" s="203">
        <f t="shared" si="435"/>
        <v>0</v>
      </c>
    </row>
    <row r="1344" spans="1:24" ht="15" x14ac:dyDescent="0.2">
      <c r="A1344" s="739" t="s">
        <v>834</v>
      </c>
      <c r="B1344" s="243" t="s">
        <v>98</v>
      </c>
      <c r="C1344" s="353" t="s">
        <v>605</v>
      </c>
      <c r="D1344" s="353" t="s">
        <v>620</v>
      </c>
      <c r="E1344" s="369" t="s">
        <v>1010</v>
      </c>
      <c r="F1344" s="369" t="s">
        <v>634</v>
      </c>
      <c r="G1344" s="288">
        <v>26</v>
      </c>
      <c r="H1344" s="288"/>
      <c r="I1344" s="288">
        <v>6</v>
      </c>
      <c r="J1344" s="288"/>
      <c r="K1344" s="43">
        <f t="shared" si="426"/>
        <v>-20</v>
      </c>
      <c r="L1344" s="43">
        <f t="shared" si="427"/>
        <v>0</v>
      </c>
      <c r="M1344" s="217">
        <f t="shared" si="414"/>
        <v>0</v>
      </c>
      <c r="N1344" s="127"/>
      <c r="R1344" s="288">
        <f>10+10</f>
        <v>20</v>
      </c>
      <c r="S1344" s="288"/>
      <c r="T1344" s="217"/>
      <c r="U1344" s="288">
        <v>10</v>
      </c>
      <c r="V1344" s="288">
        <v>0</v>
      </c>
      <c r="W1344" s="203">
        <f t="shared" si="434"/>
        <v>20</v>
      </c>
      <c r="X1344" s="203">
        <f t="shared" si="435"/>
        <v>0</v>
      </c>
    </row>
    <row r="1345" spans="1:24" ht="15" x14ac:dyDescent="0.2">
      <c r="A1345" s="744" t="s">
        <v>164</v>
      </c>
      <c r="B1345" s="243" t="s">
        <v>98</v>
      </c>
      <c r="C1345" s="353" t="s">
        <v>605</v>
      </c>
      <c r="D1345" s="353" t="s">
        <v>620</v>
      </c>
      <c r="E1345" s="369" t="s">
        <v>1010</v>
      </c>
      <c r="F1345" s="369">
        <v>540</v>
      </c>
      <c r="G1345" s="288">
        <v>0</v>
      </c>
      <c r="H1345" s="288"/>
      <c r="I1345" s="288">
        <v>20</v>
      </c>
      <c r="J1345" s="288"/>
      <c r="K1345" s="43">
        <f t="shared" si="426"/>
        <v>20</v>
      </c>
      <c r="L1345" s="43">
        <f t="shared" si="427"/>
        <v>0</v>
      </c>
      <c r="M1345" s="217">
        <f t="shared" si="414"/>
        <v>0</v>
      </c>
      <c r="N1345" s="127"/>
      <c r="R1345" s="288">
        <v>20</v>
      </c>
      <c r="S1345" s="288"/>
      <c r="T1345" s="217"/>
      <c r="U1345" s="288">
        <v>20</v>
      </c>
      <c r="V1345" s="288">
        <v>0</v>
      </c>
      <c r="W1345" s="203"/>
      <c r="X1345" s="203"/>
    </row>
    <row r="1346" spans="1:24" ht="36.75" hidden="1" customHeight="1" x14ac:dyDescent="0.2">
      <c r="A1346" s="539" t="s">
        <v>1436</v>
      </c>
      <c r="B1346" s="306" t="s">
        <v>98</v>
      </c>
      <c r="C1346" s="354" t="s">
        <v>605</v>
      </c>
      <c r="D1346" s="354" t="s">
        <v>620</v>
      </c>
      <c r="E1346" s="450" t="s">
        <v>748</v>
      </c>
      <c r="F1346" s="450"/>
      <c r="G1346" s="498">
        <f>G1347</f>
        <v>0</v>
      </c>
      <c r="H1346" s="498">
        <f>H1347</f>
        <v>0</v>
      </c>
      <c r="I1346" s="591">
        <f>I1347</f>
        <v>0</v>
      </c>
      <c r="J1346" s="591">
        <f>J1347</f>
        <v>0</v>
      </c>
      <c r="K1346" s="591">
        <f t="shared" si="426"/>
        <v>0</v>
      </c>
      <c r="L1346" s="591">
        <f t="shared" si="427"/>
        <v>0</v>
      </c>
      <c r="M1346" s="217">
        <f t="shared" si="414"/>
        <v>0</v>
      </c>
      <c r="N1346" s="127"/>
      <c r="R1346" s="591">
        <f>R1347</f>
        <v>0</v>
      </c>
      <c r="S1346" s="591">
        <f>S1347</f>
        <v>0</v>
      </c>
      <c r="T1346" s="217"/>
      <c r="U1346" s="498">
        <f>U1347</f>
        <v>0</v>
      </c>
      <c r="V1346" s="498">
        <f>V1347</f>
        <v>0</v>
      </c>
      <c r="W1346" s="203"/>
      <c r="X1346" s="203"/>
    </row>
    <row r="1347" spans="1:24" ht="12" hidden="1" customHeight="1" x14ac:dyDescent="0.2">
      <c r="A1347" s="124" t="s">
        <v>834</v>
      </c>
      <c r="B1347" s="243" t="s">
        <v>98</v>
      </c>
      <c r="C1347" s="353" t="s">
        <v>605</v>
      </c>
      <c r="D1347" s="353" t="s">
        <v>620</v>
      </c>
      <c r="E1347" s="369" t="s">
        <v>748</v>
      </c>
      <c r="F1347" s="369" t="s">
        <v>634</v>
      </c>
      <c r="G1347" s="288">
        <v>0</v>
      </c>
      <c r="H1347" s="288"/>
      <c r="I1347" s="288">
        <v>0</v>
      </c>
      <c r="J1347" s="288"/>
      <c r="K1347" s="43">
        <f t="shared" si="426"/>
        <v>0</v>
      </c>
      <c r="L1347" s="43">
        <f t="shared" si="427"/>
        <v>0</v>
      </c>
      <c r="M1347" s="217">
        <f t="shared" si="414"/>
        <v>0</v>
      </c>
      <c r="N1347" s="127"/>
      <c r="R1347" s="288">
        <v>0</v>
      </c>
      <c r="S1347" s="288"/>
      <c r="T1347" s="217"/>
      <c r="U1347" s="288">
        <v>0</v>
      </c>
      <c r="V1347" s="288"/>
      <c r="W1347" s="203"/>
      <c r="X1347" s="203"/>
    </row>
    <row r="1348" spans="1:24" ht="25.5" x14ac:dyDescent="0.2">
      <c r="A1348" s="746" t="s">
        <v>1707</v>
      </c>
      <c r="B1348" s="306" t="s">
        <v>98</v>
      </c>
      <c r="C1348" s="354" t="s">
        <v>605</v>
      </c>
      <c r="D1348" s="354" t="s">
        <v>620</v>
      </c>
      <c r="E1348" s="450" t="s">
        <v>1078</v>
      </c>
      <c r="F1348" s="450"/>
      <c r="G1348" s="591">
        <f t="shared" ref="G1348:L1348" si="436">G1349+G1353+G1356</f>
        <v>1082</v>
      </c>
      <c r="H1348" s="591">
        <f t="shared" si="436"/>
        <v>0</v>
      </c>
      <c r="I1348" s="591">
        <f t="shared" si="436"/>
        <v>1082</v>
      </c>
      <c r="J1348" s="591">
        <f t="shared" si="436"/>
        <v>0</v>
      </c>
      <c r="K1348" s="591">
        <f t="shared" si="436"/>
        <v>0</v>
      </c>
      <c r="L1348" s="591">
        <f t="shared" si="436"/>
        <v>0</v>
      </c>
      <c r="M1348" s="217">
        <f t="shared" si="414"/>
        <v>0</v>
      </c>
      <c r="N1348" s="130"/>
      <c r="R1348" s="591">
        <f>R1349</f>
        <v>0</v>
      </c>
      <c r="S1348" s="591">
        <f>S1349</f>
        <v>0</v>
      </c>
      <c r="T1348" s="217"/>
      <c r="U1348" s="498">
        <f>U1349</f>
        <v>1300</v>
      </c>
      <c r="V1348" s="498">
        <f>V1349</f>
        <v>0</v>
      </c>
      <c r="W1348" s="203">
        <f>G1348-I1348</f>
        <v>0</v>
      </c>
      <c r="X1348" s="203">
        <f>K1348+W1348</f>
        <v>0</v>
      </c>
    </row>
    <row r="1349" spans="1:24" ht="25.5" x14ac:dyDescent="0.2">
      <c r="A1349" s="746" t="s">
        <v>1081</v>
      </c>
      <c r="B1349" s="306" t="s">
        <v>98</v>
      </c>
      <c r="C1349" s="354" t="s">
        <v>605</v>
      </c>
      <c r="D1349" s="354" t="s">
        <v>620</v>
      </c>
      <c r="E1349" s="450" t="s">
        <v>1079</v>
      </c>
      <c r="F1349" s="450"/>
      <c r="G1349" s="591">
        <f>G1350</f>
        <v>982</v>
      </c>
      <c r="H1349" s="591">
        <f>H1350</f>
        <v>0</v>
      </c>
      <c r="I1349" s="591">
        <f>I1350</f>
        <v>982</v>
      </c>
      <c r="J1349" s="591">
        <f>J1350</f>
        <v>0</v>
      </c>
      <c r="K1349" s="591">
        <f t="shared" si="426"/>
        <v>0</v>
      </c>
      <c r="L1349" s="591">
        <f t="shared" si="427"/>
        <v>0</v>
      </c>
      <c r="M1349" s="217">
        <f t="shared" si="414"/>
        <v>0</v>
      </c>
      <c r="N1349" s="130"/>
      <c r="R1349" s="591">
        <f>R1350</f>
        <v>0</v>
      </c>
      <c r="S1349" s="591">
        <f>S1350</f>
        <v>0</v>
      </c>
      <c r="T1349" s="217"/>
      <c r="U1349" s="498">
        <f>U1350</f>
        <v>1300</v>
      </c>
      <c r="V1349" s="498">
        <f>V1350</f>
        <v>0</v>
      </c>
      <c r="W1349" s="203">
        <f>G1349-I1349</f>
        <v>0</v>
      </c>
      <c r="X1349" s="203">
        <f>K1349+W1349</f>
        <v>0</v>
      </c>
    </row>
    <row r="1350" spans="1:24" ht="15" x14ac:dyDescent="0.2">
      <c r="A1350" s="746" t="s">
        <v>1082</v>
      </c>
      <c r="B1350" s="306" t="s">
        <v>98</v>
      </c>
      <c r="C1350" s="354" t="s">
        <v>605</v>
      </c>
      <c r="D1350" s="354" t="s">
        <v>620</v>
      </c>
      <c r="E1350" s="450" t="s">
        <v>1080</v>
      </c>
      <c r="F1350" s="450"/>
      <c r="G1350" s="591">
        <f>G1351+G1352</f>
        <v>982</v>
      </c>
      <c r="H1350" s="591">
        <f>H1351+H1352</f>
        <v>0</v>
      </c>
      <c r="I1350" s="591">
        <f>I1351+I1352</f>
        <v>982</v>
      </c>
      <c r="J1350" s="591">
        <f>J1351+J1352</f>
        <v>0</v>
      </c>
      <c r="K1350" s="591">
        <f t="shared" si="426"/>
        <v>0</v>
      </c>
      <c r="L1350" s="591">
        <f t="shared" si="427"/>
        <v>0</v>
      </c>
      <c r="M1350" s="217">
        <f t="shared" si="414"/>
        <v>0</v>
      </c>
      <c r="N1350" s="130"/>
      <c r="R1350" s="591">
        <f>R1351+R1352</f>
        <v>0</v>
      </c>
      <c r="S1350" s="591">
        <f>S1351+S1352</f>
        <v>0</v>
      </c>
      <c r="T1350" s="217"/>
      <c r="U1350" s="498">
        <f>U1351+U1352</f>
        <v>1300</v>
      </c>
      <c r="V1350" s="498">
        <f>V1351+V1352</f>
        <v>0</v>
      </c>
      <c r="W1350" s="203">
        <f>G1350-I1350</f>
        <v>0</v>
      </c>
      <c r="X1350" s="203">
        <f>K1350+W1350</f>
        <v>0</v>
      </c>
    </row>
    <row r="1351" spans="1:24" ht="15" x14ac:dyDescent="0.2">
      <c r="A1351" s="739" t="s">
        <v>578</v>
      </c>
      <c r="B1351" s="243" t="s">
        <v>98</v>
      </c>
      <c r="C1351" s="353" t="s">
        <v>605</v>
      </c>
      <c r="D1351" s="353" t="s">
        <v>620</v>
      </c>
      <c r="E1351" s="369" t="s">
        <v>1080</v>
      </c>
      <c r="F1351" s="369">
        <v>360</v>
      </c>
      <c r="G1351" s="288">
        <v>274</v>
      </c>
      <c r="H1351" s="288"/>
      <c r="I1351" s="288">
        <v>274</v>
      </c>
      <c r="J1351" s="288"/>
      <c r="K1351" s="43">
        <f t="shared" si="426"/>
        <v>0</v>
      </c>
      <c r="L1351" s="43">
        <f t="shared" si="427"/>
        <v>0</v>
      </c>
      <c r="M1351" s="217">
        <f t="shared" si="414"/>
        <v>0</v>
      </c>
      <c r="N1351" s="130"/>
      <c r="P1351" s="299"/>
      <c r="Q1351" s="299"/>
      <c r="R1351" s="288"/>
      <c r="S1351" s="288"/>
      <c r="T1351" s="217"/>
      <c r="U1351" s="288">
        <v>610</v>
      </c>
      <c r="V1351" s="288">
        <v>0</v>
      </c>
      <c r="W1351" s="203">
        <f>G1351-I1351</f>
        <v>0</v>
      </c>
      <c r="X1351" s="203">
        <f>K1351+W1351</f>
        <v>0</v>
      </c>
    </row>
    <row r="1352" spans="1:24" ht="21" customHeight="1" x14ac:dyDescent="0.2">
      <c r="A1352" s="744" t="s">
        <v>164</v>
      </c>
      <c r="B1352" s="243" t="s">
        <v>98</v>
      </c>
      <c r="C1352" s="353" t="s">
        <v>605</v>
      </c>
      <c r="D1352" s="353" t="s">
        <v>620</v>
      </c>
      <c r="E1352" s="369" t="s">
        <v>1080</v>
      </c>
      <c r="F1352" s="369">
        <v>540</v>
      </c>
      <c r="G1352" s="288">
        <v>708</v>
      </c>
      <c r="H1352" s="288"/>
      <c r="I1352" s="288">
        <v>708</v>
      </c>
      <c r="J1352" s="288"/>
      <c r="K1352" s="43">
        <f t="shared" si="426"/>
        <v>0</v>
      </c>
      <c r="L1352" s="43">
        <f t="shared" si="427"/>
        <v>0</v>
      </c>
      <c r="M1352" s="217">
        <f t="shared" si="414"/>
        <v>0</v>
      </c>
      <c r="N1352" s="130"/>
      <c r="P1352" s="299"/>
      <c r="Q1352" s="299"/>
      <c r="R1352" s="288"/>
      <c r="S1352" s="288"/>
      <c r="T1352" s="217"/>
      <c r="U1352" s="288">
        <f>690</f>
        <v>690</v>
      </c>
      <c r="V1352" s="288">
        <v>0</v>
      </c>
      <c r="W1352" s="203"/>
      <c r="X1352" s="203"/>
    </row>
    <row r="1353" spans="1:24" ht="30.75" customHeight="1" x14ac:dyDescent="0.2">
      <c r="A1353" s="746" t="s">
        <v>1708</v>
      </c>
      <c r="B1353" s="306" t="s">
        <v>98</v>
      </c>
      <c r="C1353" s="354" t="s">
        <v>605</v>
      </c>
      <c r="D1353" s="354" t="s">
        <v>620</v>
      </c>
      <c r="E1353" s="620">
        <v>8700600000</v>
      </c>
      <c r="F1353" s="620"/>
      <c r="G1353" s="591">
        <f>G1354</f>
        <v>85</v>
      </c>
      <c r="H1353" s="591">
        <f>H1354</f>
        <v>0</v>
      </c>
      <c r="I1353" s="591">
        <f>I1354</f>
        <v>85</v>
      </c>
      <c r="J1353" s="591">
        <f>J1354</f>
        <v>0</v>
      </c>
      <c r="K1353" s="591">
        <f t="shared" si="426"/>
        <v>0</v>
      </c>
      <c r="L1353" s="591">
        <f t="shared" si="427"/>
        <v>0</v>
      </c>
      <c r="M1353" s="217"/>
      <c r="N1353" s="130"/>
      <c r="P1353" s="299"/>
      <c r="Q1353" s="299"/>
      <c r="R1353" s="288"/>
      <c r="S1353" s="288"/>
      <c r="T1353" s="217"/>
      <c r="U1353" s="288"/>
      <c r="V1353" s="288"/>
      <c r="W1353" s="203"/>
      <c r="X1353" s="203"/>
    </row>
    <row r="1354" spans="1:24" ht="14.25" customHeight="1" x14ac:dyDescent="0.2">
      <c r="A1354" s="746" t="s">
        <v>1800</v>
      </c>
      <c r="B1354" s="306" t="s">
        <v>98</v>
      </c>
      <c r="C1354" s="354" t="s">
        <v>605</v>
      </c>
      <c r="D1354" s="354" t="s">
        <v>620</v>
      </c>
      <c r="E1354" s="620">
        <v>8700682930</v>
      </c>
      <c r="F1354" s="620"/>
      <c r="G1354" s="591">
        <f>G1355</f>
        <v>85</v>
      </c>
      <c r="H1354" s="591">
        <f>H1355+H1359</f>
        <v>0</v>
      </c>
      <c r="I1354" s="591">
        <f>I1355</f>
        <v>85</v>
      </c>
      <c r="J1354" s="591">
        <f>J1355+J1359</f>
        <v>0</v>
      </c>
      <c r="K1354" s="43">
        <f t="shared" si="426"/>
        <v>0</v>
      </c>
      <c r="L1354" s="43">
        <f t="shared" si="427"/>
        <v>0</v>
      </c>
      <c r="M1354" s="217"/>
      <c r="N1354" s="130"/>
      <c r="P1354" s="299"/>
      <c r="Q1354" s="299"/>
      <c r="R1354" s="288"/>
      <c r="S1354" s="288"/>
      <c r="T1354" s="217"/>
      <c r="U1354" s="288"/>
      <c r="V1354" s="288"/>
      <c r="W1354" s="203"/>
      <c r="X1354" s="203"/>
    </row>
    <row r="1355" spans="1:24" ht="14.25" customHeight="1" x14ac:dyDescent="0.2">
      <c r="A1355" s="739" t="s">
        <v>834</v>
      </c>
      <c r="B1355" s="243" t="s">
        <v>98</v>
      </c>
      <c r="C1355" s="353" t="s">
        <v>605</v>
      </c>
      <c r="D1355" s="353" t="s">
        <v>620</v>
      </c>
      <c r="E1355" s="369">
        <v>8700682930</v>
      </c>
      <c r="F1355" s="369">
        <v>244</v>
      </c>
      <c r="G1355" s="288">
        <v>85</v>
      </c>
      <c r="H1355" s="288"/>
      <c r="I1355" s="288">
        <v>85</v>
      </c>
      <c r="J1355" s="288"/>
      <c r="K1355" s="43">
        <f t="shared" si="426"/>
        <v>0</v>
      </c>
      <c r="L1355" s="43">
        <f t="shared" si="427"/>
        <v>0</v>
      </c>
      <c r="M1355" s="217"/>
      <c r="N1355" s="130"/>
      <c r="P1355" s="299"/>
      <c r="Q1355" s="299"/>
      <c r="R1355" s="288"/>
      <c r="S1355" s="288"/>
      <c r="T1355" s="217"/>
      <c r="U1355" s="288"/>
      <c r="V1355" s="288"/>
      <c r="W1355" s="203"/>
      <c r="X1355" s="203"/>
    </row>
    <row r="1356" spans="1:24" ht="28.5" customHeight="1" x14ac:dyDescent="0.2">
      <c r="A1356" s="746" t="s">
        <v>1945</v>
      </c>
      <c r="B1356" s="306" t="s">
        <v>98</v>
      </c>
      <c r="C1356" s="354" t="s">
        <v>605</v>
      </c>
      <c r="D1356" s="354" t="s">
        <v>620</v>
      </c>
      <c r="E1356" s="691">
        <v>8700700000</v>
      </c>
      <c r="F1356" s="691"/>
      <c r="G1356" s="591">
        <f>G1357</f>
        <v>15</v>
      </c>
      <c r="H1356" s="591">
        <f>H1357</f>
        <v>0</v>
      </c>
      <c r="I1356" s="591">
        <f>I1357</f>
        <v>15</v>
      </c>
      <c r="J1356" s="591">
        <f>J1357</f>
        <v>0</v>
      </c>
      <c r="K1356" s="591">
        <f t="shared" ref="K1356:L1358" si="437">I1356-G1356</f>
        <v>0</v>
      </c>
      <c r="L1356" s="591">
        <f t="shared" si="437"/>
        <v>0</v>
      </c>
      <c r="M1356" s="217"/>
      <c r="N1356" s="130"/>
      <c r="P1356" s="299"/>
      <c r="Q1356" s="299"/>
      <c r="R1356" s="288"/>
      <c r="S1356" s="288"/>
      <c r="T1356" s="217"/>
      <c r="U1356" s="288"/>
      <c r="V1356" s="288"/>
      <c r="W1356" s="203"/>
      <c r="X1356" s="203"/>
    </row>
    <row r="1357" spans="1:24" ht="14.25" customHeight="1" x14ac:dyDescent="0.2">
      <c r="A1357" s="746" t="s">
        <v>1800</v>
      </c>
      <c r="B1357" s="306" t="s">
        <v>98</v>
      </c>
      <c r="C1357" s="354" t="s">
        <v>605</v>
      </c>
      <c r="D1357" s="354" t="s">
        <v>620</v>
      </c>
      <c r="E1357" s="691">
        <v>8700782930</v>
      </c>
      <c r="F1357" s="691"/>
      <c r="G1357" s="591">
        <f>G1358</f>
        <v>15</v>
      </c>
      <c r="H1357" s="591">
        <f>H1358+H1362</f>
        <v>0</v>
      </c>
      <c r="I1357" s="591">
        <f>I1358</f>
        <v>15</v>
      </c>
      <c r="J1357" s="591">
        <f>J1358+J1362</f>
        <v>0</v>
      </c>
      <c r="K1357" s="43">
        <f t="shared" si="437"/>
        <v>0</v>
      </c>
      <c r="L1357" s="43">
        <f t="shared" si="437"/>
        <v>0</v>
      </c>
      <c r="M1357" s="217"/>
      <c r="N1357" s="130"/>
      <c r="P1357" s="299"/>
      <c r="Q1357" s="299"/>
      <c r="R1357" s="288"/>
      <c r="S1357" s="288"/>
      <c r="T1357" s="217"/>
      <c r="U1357" s="288"/>
      <c r="V1357" s="288"/>
      <c r="W1357" s="203"/>
      <c r="X1357" s="203"/>
    </row>
    <row r="1358" spans="1:24" ht="14.25" customHeight="1" x14ac:dyDescent="0.2">
      <c r="A1358" s="744" t="s">
        <v>834</v>
      </c>
      <c r="B1358" s="243" t="s">
        <v>98</v>
      </c>
      <c r="C1358" s="353" t="s">
        <v>605</v>
      </c>
      <c r="D1358" s="353" t="s">
        <v>620</v>
      </c>
      <c r="E1358" s="369">
        <v>8700782930</v>
      </c>
      <c r="F1358" s="369">
        <v>244</v>
      </c>
      <c r="G1358" s="288">
        <v>15</v>
      </c>
      <c r="H1358" s="288"/>
      <c r="I1358" s="288">
        <v>15</v>
      </c>
      <c r="J1358" s="288"/>
      <c r="K1358" s="43">
        <f t="shared" si="437"/>
        <v>0</v>
      </c>
      <c r="L1358" s="43">
        <f t="shared" si="437"/>
        <v>0</v>
      </c>
      <c r="M1358" s="217"/>
      <c r="N1358" s="130"/>
      <c r="P1358" s="299"/>
      <c r="Q1358" s="299"/>
      <c r="R1358" s="288"/>
      <c r="S1358" s="288"/>
      <c r="T1358" s="217"/>
      <c r="U1358" s="288"/>
      <c r="V1358" s="288"/>
      <c r="W1358" s="203"/>
      <c r="X1358" s="203"/>
    </row>
    <row r="1359" spans="1:24" ht="15" x14ac:dyDescent="0.2">
      <c r="A1359" s="746" t="s">
        <v>65</v>
      </c>
      <c r="B1359" s="306" t="s">
        <v>98</v>
      </c>
      <c r="C1359" s="354" t="s">
        <v>605</v>
      </c>
      <c r="D1359" s="354" t="s">
        <v>620</v>
      </c>
      <c r="E1359" s="450" t="s">
        <v>312</v>
      </c>
      <c r="F1359" s="450"/>
      <c r="G1359" s="591">
        <f>G1360+G1365+G1384+G1390+G1363+G1394+G1397+G1375+G1377+G1401+G1403+G1405+G1407+G1388+G1371+G1380+G1382+G1373</f>
        <v>8555.4506399999991</v>
      </c>
      <c r="H1359" s="591">
        <f>H1360+H1365+H1384+H1390+H1363+H1394+H1397+H1375+H1377+H1401+H1403+H1405+H1407+H1388+H1371+H1380</f>
        <v>0</v>
      </c>
      <c r="I1359" s="591">
        <f>I1360+I1365+I1384+I1390+I1363+I1394+I1397+I1375+I1377+I1401+I1403+I1405+I1407+I1388+I1371+I1380+I1382+I1373</f>
        <v>8592.9506399999991</v>
      </c>
      <c r="J1359" s="591">
        <f>J1360+J1365+J1384+J1390+J1363+J1394+J1397+J1375+J1377+J1401+J1403+J1405+J1407+J1388+J1371+J1380</f>
        <v>0</v>
      </c>
      <c r="K1359" s="591">
        <f t="shared" si="426"/>
        <v>37.5</v>
      </c>
      <c r="L1359" s="591">
        <f t="shared" si="427"/>
        <v>0</v>
      </c>
      <c r="M1359" s="217">
        <f t="shared" si="414"/>
        <v>0</v>
      </c>
      <c r="N1359" s="127">
        <f>N1365+N1384+N1390+N1363</f>
        <v>5970.3120000000008</v>
      </c>
      <c r="P1359" s="299"/>
      <c r="Q1359" s="299"/>
      <c r="R1359" s="591">
        <f>R1360+R1365+R1384+R1390+R1363+R1394+R1397+R1375+R1377+R1401+R1403+R1405+R1407+R1388+R1371+R1380</f>
        <v>7628.0016800000003</v>
      </c>
      <c r="S1359" s="591">
        <f>S1360+S1365+S1384+S1390+S1363+S1394+S1397+S1375+S1377+S1401+S1403+S1405+S1407+S1388+S1371+S1380</f>
        <v>0</v>
      </c>
      <c r="T1359" s="217">
        <f t="shared" ref="T1359:T1395" si="438">I1359-G1359</f>
        <v>37.5</v>
      </c>
      <c r="U1359" s="498">
        <f>U1365+U1384+U1390+U1363+U1394+U1397+U1375+U1377+U1401+U1403+U1405+U1407+U1388</f>
        <v>3935</v>
      </c>
      <c r="V1359" s="498">
        <f>V1365+V1384+V1390+V1363+V1394+V1397+V1375+V1377+V1401+V1403+V1405+V1407+V1388</f>
        <v>497.6</v>
      </c>
      <c r="W1359" s="203">
        <f>G1359-I1359</f>
        <v>-37.5</v>
      </c>
      <c r="X1359" s="203">
        <f>K1359+W1359</f>
        <v>0</v>
      </c>
    </row>
    <row r="1360" spans="1:24" ht="15" x14ac:dyDescent="0.2">
      <c r="A1360" s="753" t="s">
        <v>1781</v>
      </c>
      <c r="B1360" s="306" t="s">
        <v>98</v>
      </c>
      <c r="C1360" s="354" t="s">
        <v>605</v>
      </c>
      <c r="D1360" s="354" t="s">
        <v>620</v>
      </c>
      <c r="E1360" s="582">
        <v>9990012210</v>
      </c>
      <c r="F1360" s="582"/>
      <c r="G1360" s="591">
        <f>G1361+G1362</f>
        <v>300</v>
      </c>
      <c r="H1360" s="591"/>
      <c r="I1360" s="591">
        <f>I1361+I1362</f>
        <v>300</v>
      </c>
      <c r="J1360" s="591"/>
      <c r="K1360" s="591">
        <f t="shared" si="426"/>
        <v>0</v>
      </c>
      <c r="L1360" s="591">
        <f t="shared" si="427"/>
        <v>0</v>
      </c>
      <c r="M1360" s="217"/>
      <c r="N1360" s="127"/>
      <c r="P1360" s="299"/>
      <c r="Q1360" s="299"/>
      <c r="R1360" s="591">
        <f>R1361+R1362</f>
        <v>0</v>
      </c>
      <c r="S1360" s="591"/>
      <c r="T1360" s="217"/>
      <c r="U1360" s="498"/>
      <c r="V1360" s="498"/>
      <c r="W1360" s="203"/>
      <c r="X1360" s="203"/>
    </row>
    <row r="1361" spans="1:24" ht="15" x14ac:dyDescent="0.2">
      <c r="A1361" s="744" t="s">
        <v>834</v>
      </c>
      <c r="B1361" s="243" t="s">
        <v>98</v>
      </c>
      <c r="C1361" s="353" t="s">
        <v>605</v>
      </c>
      <c r="D1361" s="353" t="s">
        <v>620</v>
      </c>
      <c r="E1361" s="369">
        <v>9990012210</v>
      </c>
      <c r="F1361" s="369">
        <v>244</v>
      </c>
      <c r="G1361" s="288">
        <v>105</v>
      </c>
      <c r="H1361" s="288"/>
      <c r="I1361" s="288">
        <v>105</v>
      </c>
      <c r="J1361" s="288"/>
      <c r="K1361" s="43">
        <f t="shared" si="426"/>
        <v>0</v>
      </c>
      <c r="L1361" s="43">
        <f t="shared" si="427"/>
        <v>0</v>
      </c>
      <c r="M1361" s="217"/>
      <c r="N1361" s="130"/>
      <c r="P1361" s="299"/>
      <c r="Q1361" s="299"/>
      <c r="R1361" s="288">
        <v>0</v>
      </c>
      <c r="S1361" s="288"/>
      <c r="T1361" s="217"/>
      <c r="U1361" s="288"/>
      <c r="V1361" s="288"/>
      <c r="W1361" s="203"/>
      <c r="X1361" s="203"/>
    </row>
    <row r="1362" spans="1:24" ht="15" x14ac:dyDescent="0.2">
      <c r="A1362" s="744" t="s">
        <v>1140</v>
      </c>
      <c r="B1362" s="243" t="s">
        <v>98</v>
      </c>
      <c r="C1362" s="353" t="s">
        <v>605</v>
      </c>
      <c r="D1362" s="353" t="s">
        <v>620</v>
      </c>
      <c r="E1362" s="369">
        <v>9990012210</v>
      </c>
      <c r="F1362" s="369">
        <v>350</v>
      </c>
      <c r="G1362" s="288">
        <v>195</v>
      </c>
      <c r="H1362" s="288"/>
      <c r="I1362" s="288">
        <v>195</v>
      </c>
      <c r="J1362" s="288"/>
      <c r="K1362" s="43">
        <f t="shared" si="426"/>
        <v>0</v>
      </c>
      <c r="L1362" s="43">
        <f t="shared" si="427"/>
        <v>0</v>
      </c>
      <c r="M1362" s="217"/>
      <c r="N1362" s="130"/>
      <c r="P1362" s="299"/>
      <c r="Q1362" s="299"/>
      <c r="R1362" s="288">
        <v>0</v>
      </c>
      <c r="S1362" s="288"/>
      <c r="T1362" s="217"/>
      <c r="U1362" s="288"/>
      <c r="V1362" s="288"/>
      <c r="W1362" s="203"/>
      <c r="X1362" s="203"/>
    </row>
    <row r="1363" spans="1:24" ht="39.75" hidden="1" customHeight="1" x14ac:dyDescent="0.2">
      <c r="A1363" s="451" t="s">
        <v>1387</v>
      </c>
      <c r="B1363" s="306" t="s">
        <v>98</v>
      </c>
      <c r="C1363" s="354" t="s">
        <v>605</v>
      </c>
      <c r="D1363" s="354" t="s">
        <v>620</v>
      </c>
      <c r="E1363" s="450">
        <v>9990054690</v>
      </c>
      <c r="F1363" s="450"/>
      <c r="G1363" s="498">
        <f>G1364</f>
        <v>0</v>
      </c>
      <c r="H1363" s="498">
        <f>H1364</f>
        <v>0</v>
      </c>
      <c r="I1363" s="591">
        <f>I1364</f>
        <v>0</v>
      </c>
      <c r="J1363" s="591">
        <f>J1364</f>
        <v>0</v>
      </c>
      <c r="K1363" s="591">
        <f t="shared" si="426"/>
        <v>0</v>
      </c>
      <c r="L1363" s="591">
        <f t="shared" si="427"/>
        <v>0</v>
      </c>
      <c r="M1363" s="217">
        <f t="shared" si="414"/>
        <v>0</v>
      </c>
      <c r="N1363" s="127">
        <f>N1364</f>
        <v>443</v>
      </c>
      <c r="P1363" s="299"/>
      <c r="Q1363" s="299"/>
      <c r="R1363" s="591">
        <f>R1364</f>
        <v>0</v>
      </c>
      <c r="S1363" s="591">
        <f>S1364</f>
        <v>0</v>
      </c>
      <c r="T1363" s="217">
        <f t="shared" si="438"/>
        <v>0</v>
      </c>
      <c r="U1363" s="498">
        <f>U1364</f>
        <v>497.6</v>
      </c>
      <c r="V1363" s="498">
        <f>V1364</f>
        <v>497.6</v>
      </c>
      <c r="W1363" s="203">
        <f t="shared" ref="W1363:W1384" si="439">G1363-I1363</f>
        <v>0</v>
      </c>
      <c r="X1363" s="203">
        <f t="shared" ref="X1363:X1384" si="440">K1363+W1363</f>
        <v>0</v>
      </c>
    </row>
    <row r="1364" spans="1:24" ht="18" hidden="1" customHeight="1" x14ac:dyDescent="0.2">
      <c r="A1364" s="124" t="s">
        <v>834</v>
      </c>
      <c r="B1364" s="243" t="s">
        <v>98</v>
      </c>
      <c r="C1364" s="353" t="s">
        <v>605</v>
      </c>
      <c r="D1364" s="353" t="s">
        <v>620</v>
      </c>
      <c r="E1364" s="369">
        <v>9990054690</v>
      </c>
      <c r="F1364" s="369" t="s">
        <v>634</v>
      </c>
      <c r="G1364" s="288"/>
      <c r="H1364" s="265"/>
      <c r="I1364" s="288"/>
      <c r="J1364" s="265"/>
      <c r="K1364" s="43">
        <f t="shared" si="426"/>
        <v>0</v>
      </c>
      <c r="L1364" s="43">
        <f t="shared" si="427"/>
        <v>0</v>
      </c>
      <c r="M1364" s="217">
        <f t="shared" si="414"/>
        <v>0</v>
      </c>
      <c r="N1364" s="43">
        <v>443</v>
      </c>
      <c r="P1364" s="299"/>
      <c r="Q1364" s="299"/>
      <c r="R1364" s="288"/>
      <c r="S1364" s="265"/>
      <c r="T1364" s="217">
        <f t="shared" si="438"/>
        <v>0</v>
      </c>
      <c r="U1364" s="288">
        <v>497.6</v>
      </c>
      <c r="V1364" s="265">
        <v>497.6</v>
      </c>
      <c r="W1364" s="203">
        <f t="shared" si="439"/>
        <v>0</v>
      </c>
      <c r="X1364" s="203">
        <f t="shared" si="440"/>
        <v>0</v>
      </c>
    </row>
    <row r="1365" spans="1:24" ht="25.5" x14ac:dyDescent="0.2">
      <c r="A1365" s="746" t="s">
        <v>935</v>
      </c>
      <c r="B1365" s="306" t="s">
        <v>98</v>
      </c>
      <c r="C1365" s="354" t="s">
        <v>605</v>
      </c>
      <c r="D1365" s="354" t="s">
        <v>620</v>
      </c>
      <c r="E1365" s="450" t="s">
        <v>333</v>
      </c>
      <c r="F1365" s="450"/>
      <c r="G1365" s="591">
        <f>SUM(G1366:G1370)</f>
        <v>923.50000000000011</v>
      </c>
      <c r="H1365" s="591">
        <f>SUM(H1366:H1370)</f>
        <v>0</v>
      </c>
      <c r="I1365" s="591">
        <f>SUM(I1366:I1370)</f>
        <v>923.50000000000011</v>
      </c>
      <c r="J1365" s="591">
        <f>SUM(J1366:J1370)</f>
        <v>0</v>
      </c>
      <c r="K1365" s="591">
        <f t="shared" si="426"/>
        <v>0</v>
      </c>
      <c r="L1365" s="591">
        <f t="shared" si="427"/>
        <v>0</v>
      </c>
      <c r="M1365" s="217">
        <f t="shared" si="414"/>
        <v>0</v>
      </c>
      <c r="N1365" s="170">
        <f>SUM(N1366:N1370)</f>
        <v>576.90000000000009</v>
      </c>
      <c r="P1365" s="299"/>
      <c r="Q1365" s="299"/>
      <c r="R1365" s="591">
        <f>SUM(R1366:R1370)</f>
        <v>730.6</v>
      </c>
      <c r="S1365" s="591">
        <f>SUM(S1366:S1370)</f>
        <v>0</v>
      </c>
      <c r="T1365" s="217">
        <f t="shared" si="438"/>
        <v>0</v>
      </c>
      <c r="U1365" s="498">
        <f>SUM(U1366:U1370)</f>
        <v>670.50000000000011</v>
      </c>
      <c r="V1365" s="498">
        <f>SUM(V1366:V1370)</f>
        <v>0</v>
      </c>
      <c r="W1365" s="203">
        <f t="shared" si="439"/>
        <v>0</v>
      </c>
      <c r="X1365" s="203">
        <f t="shared" si="440"/>
        <v>0</v>
      </c>
    </row>
    <row r="1366" spans="1:24" ht="15" x14ac:dyDescent="0.2">
      <c r="A1366" s="739" t="s">
        <v>529</v>
      </c>
      <c r="B1366" s="243" t="s">
        <v>98</v>
      </c>
      <c r="C1366" s="353" t="s">
        <v>605</v>
      </c>
      <c r="D1366" s="353" t="s">
        <v>620</v>
      </c>
      <c r="E1366" s="369" t="s">
        <v>333</v>
      </c>
      <c r="F1366" s="369" t="s">
        <v>129</v>
      </c>
      <c r="G1366" s="519">
        <v>622.20460000000003</v>
      </c>
      <c r="H1366" s="288"/>
      <c r="I1366" s="519">
        <v>622.20460000000003</v>
      </c>
      <c r="J1366" s="288"/>
      <c r="K1366" s="43">
        <f t="shared" si="426"/>
        <v>0</v>
      </c>
      <c r="L1366" s="43">
        <f t="shared" si="427"/>
        <v>0</v>
      </c>
      <c r="M1366" s="217">
        <f t="shared" si="414"/>
        <v>0</v>
      </c>
      <c r="N1366" s="171">
        <f>448.1-103.9</f>
        <v>344.20000000000005</v>
      </c>
      <c r="P1366" s="299"/>
      <c r="Q1366" s="299"/>
      <c r="R1366" s="288">
        <v>509.83100000000002</v>
      </c>
      <c r="S1366" s="288"/>
      <c r="T1366" s="217">
        <f t="shared" si="438"/>
        <v>0</v>
      </c>
      <c r="U1366" s="288">
        <v>461.75</v>
      </c>
      <c r="V1366" s="288">
        <v>0</v>
      </c>
      <c r="W1366" s="203">
        <f t="shared" si="439"/>
        <v>0</v>
      </c>
      <c r="X1366" s="203">
        <f t="shared" si="440"/>
        <v>0</v>
      </c>
    </row>
    <row r="1367" spans="1:24" ht="15" hidden="1" x14ac:dyDescent="0.2">
      <c r="A1367" s="124" t="s">
        <v>191</v>
      </c>
      <c r="B1367" s="243" t="s">
        <v>98</v>
      </c>
      <c r="C1367" s="353" t="s">
        <v>605</v>
      </c>
      <c r="D1367" s="353" t="s">
        <v>620</v>
      </c>
      <c r="E1367" s="369" t="s">
        <v>333</v>
      </c>
      <c r="F1367" s="369" t="s">
        <v>636</v>
      </c>
      <c r="G1367" s="519">
        <v>0</v>
      </c>
      <c r="H1367" s="288"/>
      <c r="I1367" s="519">
        <v>0</v>
      </c>
      <c r="J1367" s="288"/>
      <c r="K1367" s="43">
        <f t="shared" si="426"/>
        <v>0</v>
      </c>
      <c r="L1367" s="43">
        <f t="shared" si="427"/>
        <v>0</v>
      </c>
      <c r="M1367" s="217">
        <f t="shared" si="414"/>
        <v>0</v>
      </c>
      <c r="N1367" s="171"/>
      <c r="P1367" s="299"/>
      <c r="Q1367" s="299"/>
      <c r="R1367" s="288">
        <v>2.5</v>
      </c>
      <c r="S1367" s="288"/>
      <c r="T1367" s="217">
        <f t="shared" si="438"/>
        <v>0</v>
      </c>
      <c r="U1367" s="288">
        <v>2.5</v>
      </c>
      <c r="V1367" s="288">
        <v>0</v>
      </c>
      <c r="W1367" s="203">
        <f t="shared" si="439"/>
        <v>0</v>
      </c>
      <c r="X1367" s="203">
        <f t="shared" si="440"/>
        <v>0</v>
      </c>
    </row>
    <row r="1368" spans="1:24" ht="25.5" x14ac:dyDescent="0.2">
      <c r="A1368" s="739" t="s">
        <v>572</v>
      </c>
      <c r="B1368" s="243" t="s">
        <v>98</v>
      </c>
      <c r="C1368" s="353" t="s">
        <v>605</v>
      </c>
      <c r="D1368" s="353" t="s">
        <v>620</v>
      </c>
      <c r="E1368" s="369" t="s">
        <v>333</v>
      </c>
      <c r="F1368" s="369" t="s">
        <v>524</v>
      </c>
      <c r="G1368" s="519">
        <v>191.47540000000001</v>
      </c>
      <c r="H1368" s="288"/>
      <c r="I1368" s="519">
        <v>191.47540000000001</v>
      </c>
      <c r="J1368" s="288"/>
      <c r="K1368" s="43">
        <f t="shared" si="426"/>
        <v>0</v>
      </c>
      <c r="L1368" s="43">
        <f t="shared" si="427"/>
        <v>0</v>
      </c>
      <c r="M1368" s="217">
        <f t="shared" si="414"/>
        <v>0</v>
      </c>
      <c r="N1368" s="171">
        <v>103.9</v>
      </c>
      <c r="P1368" s="299"/>
      <c r="Q1368" s="299"/>
      <c r="R1368" s="288">
        <v>153.96899999999999</v>
      </c>
      <c r="S1368" s="288"/>
      <c r="T1368" s="217">
        <f t="shared" si="438"/>
        <v>0</v>
      </c>
      <c r="U1368" s="288">
        <v>139.44999999999999</v>
      </c>
      <c r="V1368" s="288">
        <v>0</v>
      </c>
      <c r="W1368" s="203">
        <f t="shared" si="439"/>
        <v>0</v>
      </c>
      <c r="X1368" s="203">
        <f t="shared" si="440"/>
        <v>0</v>
      </c>
    </row>
    <row r="1369" spans="1:24" ht="15" x14ac:dyDescent="0.2">
      <c r="A1369" s="739" t="s">
        <v>233</v>
      </c>
      <c r="B1369" s="243" t="s">
        <v>98</v>
      </c>
      <c r="C1369" s="353" t="s">
        <v>605</v>
      </c>
      <c r="D1369" s="353" t="s">
        <v>620</v>
      </c>
      <c r="E1369" s="369" t="s">
        <v>333</v>
      </c>
      <c r="F1369" s="369" t="s">
        <v>635</v>
      </c>
      <c r="G1369" s="519">
        <v>41.82</v>
      </c>
      <c r="H1369" s="288"/>
      <c r="I1369" s="519">
        <v>41.82</v>
      </c>
      <c r="J1369" s="288"/>
      <c r="K1369" s="43">
        <f t="shared" si="426"/>
        <v>0</v>
      </c>
      <c r="L1369" s="43">
        <f t="shared" si="427"/>
        <v>0</v>
      </c>
      <c r="M1369" s="217">
        <f t="shared" si="414"/>
        <v>0</v>
      </c>
      <c r="N1369" s="171">
        <v>28.8</v>
      </c>
      <c r="P1369" s="299"/>
      <c r="Q1369" s="299"/>
      <c r="R1369" s="288">
        <v>47.1</v>
      </c>
      <c r="S1369" s="288"/>
      <c r="T1369" s="217">
        <f t="shared" si="438"/>
        <v>0</v>
      </c>
      <c r="U1369" s="288">
        <v>47.1</v>
      </c>
      <c r="V1369" s="288">
        <v>0</v>
      </c>
      <c r="W1369" s="203">
        <f t="shared" si="439"/>
        <v>0</v>
      </c>
      <c r="X1369" s="203">
        <f t="shared" si="440"/>
        <v>0</v>
      </c>
    </row>
    <row r="1370" spans="1:24" ht="15" x14ac:dyDescent="0.2">
      <c r="A1370" s="739" t="s">
        <v>834</v>
      </c>
      <c r="B1370" s="243" t="s">
        <v>98</v>
      </c>
      <c r="C1370" s="353" t="s">
        <v>605</v>
      </c>
      <c r="D1370" s="353" t="s">
        <v>620</v>
      </c>
      <c r="E1370" s="369" t="s">
        <v>333</v>
      </c>
      <c r="F1370" s="369" t="s">
        <v>634</v>
      </c>
      <c r="G1370" s="288">
        <v>68</v>
      </c>
      <c r="H1370" s="288"/>
      <c r="I1370" s="288">
        <v>68</v>
      </c>
      <c r="J1370" s="288"/>
      <c r="K1370" s="43">
        <f t="shared" si="426"/>
        <v>0</v>
      </c>
      <c r="L1370" s="43">
        <f t="shared" si="427"/>
        <v>0</v>
      </c>
      <c r="M1370" s="217">
        <f t="shared" si="414"/>
        <v>0</v>
      </c>
      <c r="N1370" s="171">
        <v>100</v>
      </c>
      <c r="R1370" s="288">
        <v>17.2</v>
      </c>
      <c r="S1370" s="288"/>
      <c r="T1370" s="217">
        <f t="shared" si="438"/>
        <v>0</v>
      </c>
      <c r="U1370" s="288">
        <v>19.7</v>
      </c>
      <c r="V1370" s="288">
        <v>0</v>
      </c>
      <c r="W1370" s="203">
        <f t="shared" si="439"/>
        <v>0</v>
      </c>
      <c r="X1370" s="203">
        <f t="shared" si="440"/>
        <v>0</v>
      </c>
    </row>
    <row r="1371" spans="1:24" ht="25.5" x14ac:dyDescent="0.2">
      <c r="A1371" s="746" t="s">
        <v>1559</v>
      </c>
      <c r="B1371" s="306" t="s">
        <v>98</v>
      </c>
      <c r="C1371" s="354" t="s">
        <v>605</v>
      </c>
      <c r="D1371" s="354" t="s">
        <v>620</v>
      </c>
      <c r="E1371" s="450">
        <v>9990074030</v>
      </c>
      <c r="F1371" s="450"/>
      <c r="G1371" s="591">
        <f>G1372</f>
        <v>6025</v>
      </c>
      <c r="H1371" s="591">
        <f>H1372</f>
        <v>0</v>
      </c>
      <c r="I1371" s="591">
        <f>I1372</f>
        <v>6025</v>
      </c>
      <c r="J1371" s="591">
        <f>J1372</f>
        <v>0</v>
      </c>
      <c r="K1371" s="591">
        <f t="shared" si="426"/>
        <v>0</v>
      </c>
      <c r="L1371" s="591">
        <f t="shared" si="427"/>
        <v>0</v>
      </c>
      <c r="M1371" s="217">
        <f t="shared" si="414"/>
        <v>0</v>
      </c>
      <c r="N1371" s="42" t="e">
        <f>N1372+#REF!+#REF!</f>
        <v>#REF!</v>
      </c>
      <c r="R1371" s="591">
        <f>R1372</f>
        <v>4935</v>
      </c>
      <c r="S1371" s="591">
        <f>S1372</f>
        <v>0</v>
      </c>
      <c r="T1371" s="217">
        <f t="shared" si="438"/>
        <v>0</v>
      </c>
      <c r="U1371" s="498" t="e">
        <f>U1372+#REF!+#REF!</f>
        <v>#REF!</v>
      </c>
      <c r="V1371" s="498" t="e">
        <f>V1372+#REF!+#REF!</f>
        <v>#REF!</v>
      </c>
      <c r="W1371" s="203">
        <f t="shared" si="439"/>
        <v>0</v>
      </c>
      <c r="X1371" s="203">
        <f t="shared" si="440"/>
        <v>0</v>
      </c>
    </row>
    <row r="1372" spans="1:24" ht="15" x14ac:dyDescent="0.2">
      <c r="A1372" s="739" t="s">
        <v>1543</v>
      </c>
      <c r="B1372" s="243" t="s">
        <v>98</v>
      </c>
      <c r="C1372" s="353" t="s">
        <v>605</v>
      </c>
      <c r="D1372" s="353" t="s">
        <v>620</v>
      </c>
      <c r="E1372" s="369">
        <v>9990074030</v>
      </c>
      <c r="F1372" s="369">
        <v>540</v>
      </c>
      <c r="G1372" s="288">
        <v>6025</v>
      </c>
      <c r="H1372" s="288"/>
      <c r="I1372" s="288">
        <v>6025</v>
      </c>
      <c r="J1372" s="288"/>
      <c r="K1372" s="43">
        <f t="shared" si="426"/>
        <v>0</v>
      </c>
      <c r="L1372" s="43">
        <f t="shared" si="427"/>
        <v>0</v>
      </c>
      <c r="M1372" s="217">
        <f t="shared" ref="M1372:M1379" si="441">I1372-G1372-K1372</f>
        <v>0</v>
      </c>
      <c r="N1372" s="43"/>
      <c r="R1372" s="288">
        <v>4935</v>
      </c>
      <c r="S1372" s="288"/>
      <c r="T1372" s="217">
        <f t="shared" si="438"/>
        <v>0</v>
      </c>
      <c r="U1372" s="288"/>
      <c r="V1372" s="288"/>
      <c r="W1372" s="203">
        <f t="shared" si="439"/>
        <v>0</v>
      </c>
      <c r="X1372" s="203">
        <f t="shared" si="440"/>
        <v>0</v>
      </c>
    </row>
    <row r="1373" spans="1:24" ht="15" x14ac:dyDescent="0.2">
      <c r="A1373" s="746" t="s">
        <v>976</v>
      </c>
      <c r="B1373" s="306" t="s">
        <v>98</v>
      </c>
      <c r="C1373" s="354" t="s">
        <v>605</v>
      </c>
      <c r="D1373" s="354" t="s">
        <v>620</v>
      </c>
      <c r="E1373" s="660">
        <v>9990082090</v>
      </c>
      <c r="F1373" s="660"/>
      <c r="G1373" s="591">
        <f>G1374</f>
        <v>850</v>
      </c>
      <c r="H1373" s="591">
        <f>H1374</f>
        <v>0</v>
      </c>
      <c r="I1373" s="591">
        <f>I1374</f>
        <v>799.5</v>
      </c>
      <c r="J1373" s="591">
        <f>J1374</f>
        <v>0</v>
      </c>
      <c r="K1373" s="43">
        <f t="shared" si="426"/>
        <v>-50.5</v>
      </c>
      <c r="L1373" s="43">
        <f t="shared" si="427"/>
        <v>0</v>
      </c>
      <c r="M1373" s="217"/>
      <c r="N1373" s="43"/>
      <c r="R1373" s="288"/>
      <c r="S1373" s="288"/>
      <c r="T1373" s="217"/>
      <c r="U1373" s="288"/>
      <c r="V1373" s="288"/>
      <c r="W1373" s="203"/>
      <c r="X1373" s="203"/>
    </row>
    <row r="1374" spans="1:24" ht="15" x14ac:dyDescent="0.2">
      <c r="A1374" s="739" t="s">
        <v>834</v>
      </c>
      <c r="B1374" s="243" t="s">
        <v>98</v>
      </c>
      <c r="C1374" s="353" t="s">
        <v>605</v>
      </c>
      <c r="D1374" s="353" t="s">
        <v>620</v>
      </c>
      <c r="E1374" s="369">
        <v>9990082090</v>
      </c>
      <c r="F1374" s="369">
        <v>244</v>
      </c>
      <c r="G1374" s="288">
        <v>850</v>
      </c>
      <c r="H1374" s="288"/>
      <c r="I1374" s="288">
        <v>799.5</v>
      </c>
      <c r="J1374" s="288"/>
      <c r="K1374" s="43">
        <f t="shared" si="426"/>
        <v>-50.5</v>
      </c>
      <c r="L1374" s="43">
        <f t="shared" si="427"/>
        <v>0</v>
      </c>
      <c r="M1374" s="217"/>
      <c r="N1374" s="43"/>
      <c r="R1374" s="288"/>
      <c r="S1374" s="288"/>
      <c r="T1374" s="217"/>
      <c r="U1374" s="288"/>
      <c r="V1374" s="288"/>
      <c r="W1374" s="203"/>
      <c r="X1374" s="203"/>
    </row>
    <row r="1375" spans="1:24" ht="25.5" hidden="1" x14ac:dyDescent="0.2">
      <c r="A1375" s="641" t="s">
        <v>1011</v>
      </c>
      <c r="B1375" s="306" t="s">
        <v>98</v>
      </c>
      <c r="C1375" s="354" t="s">
        <v>605</v>
      </c>
      <c r="D1375" s="354" t="s">
        <v>620</v>
      </c>
      <c r="E1375" s="450">
        <v>9990082110</v>
      </c>
      <c r="F1375" s="450"/>
      <c r="G1375" s="498">
        <f>G1376</f>
        <v>0</v>
      </c>
      <c r="H1375" s="498">
        <f>H1376</f>
        <v>0</v>
      </c>
      <c r="I1375" s="591">
        <f>I1376</f>
        <v>0</v>
      </c>
      <c r="J1375" s="591">
        <f>J1376</f>
        <v>0</v>
      </c>
      <c r="K1375" s="591">
        <f t="shared" si="426"/>
        <v>0</v>
      </c>
      <c r="L1375" s="591">
        <f t="shared" si="427"/>
        <v>0</v>
      </c>
      <c r="M1375" s="217">
        <f t="shared" si="441"/>
        <v>0</v>
      </c>
      <c r="N1375" s="170">
        <f>N1376</f>
        <v>4932.8</v>
      </c>
      <c r="R1375" s="591">
        <f>R1376</f>
        <v>200</v>
      </c>
      <c r="S1375" s="591">
        <f>S1376</f>
        <v>0</v>
      </c>
      <c r="T1375" s="217">
        <f t="shared" si="438"/>
        <v>0</v>
      </c>
      <c r="U1375" s="498">
        <f>U1376</f>
        <v>216.9</v>
      </c>
      <c r="V1375" s="498">
        <f>V1376</f>
        <v>0</v>
      </c>
      <c r="W1375" s="203">
        <f t="shared" si="439"/>
        <v>0</v>
      </c>
      <c r="X1375" s="203">
        <f t="shared" si="440"/>
        <v>0</v>
      </c>
    </row>
    <row r="1376" spans="1:24" ht="15" hidden="1" x14ac:dyDescent="0.2">
      <c r="A1376" s="186" t="s">
        <v>126</v>
      </c>
      <c r="B1376" s="243" t="s">
        <v>98</v>
      </c>
      <c r="C1376" s="353" t="s">
        <v>605</v>
      </c>
      <c r="D1376" s="353" t="s">
        <v>620</v>
      </c>
      <c r="E1376" s="369">
        <v>9990082110</v>
      </c>
      <c r="F1376" s="369">
        <v>622</v>
      </c>
      <c r="G1376" s="288"/>
      <c r="H1376" s="288"/>
      <c r="I1376" s="288"/>
      <c r="J1376" s="288"/>
      <c r="K1376" s="43">
        <f t="shared" si="426"/>
        <v>0</v>
      </c>
      <c r="L1376" s="43">
        <f t="shared" si="427"/>
        <v>0</v>
      </c>
      <c r="M1376" s="217">
        <f t="shared" si="441"/>
        <v>0</v>
      </c>
      <c r="N1376" s="171">
        <f>3591.6+1341.2</f>
        <v>4932.8</v>
      </c>
      <c r="R1376" s="288">
        <v>200</v>
      </c>
      <c r="S1376" s="288"/>
      <c r="T1376" s="217">
        <f t="shared" si="438"/>
        <v>0</v>
      </c>
      <c r="U1376" s="288">
        <v>216.9</v>
      </c>
      <c r="V1376" s="288">
        <v>0</v>
      </c>
      <c r="W1376" s="203">
        <f t="shared" si="439"/>
        <v>0</v>
      </c>
      <c r="X1376" s="203">
        <f t="shared" si="440"/>
        <v>0</v>
      </c>
    </row>
    <row r="1377" spans="1:24" ht="15" hidden="1" x14ac:dyDescent="0.2">
      <c r="A1377" s="451" t="s">
        <v>1577</v>
      </c>
      <c r="B1377" s="306" t="s">
        <v>98</v>
      </c>
      <c r="C1377" s="354" t="s">
        <v>605</v>
      </c>
      <c r="D1377" s="354" t="s">
        <v>620</v>
      </c>
      <c r="E1377" s="450">
        <v>9990082230</v>
      </c>
      <c r="F1377" s="450"/>
      <c r="G1377" s="498">
        <f>G1378+G1379</f>
        <v>0</v>
      </c>
      <c r="H1377" s="591">
        <f>H1378+H1379</f>
        <v>0</v>
      </c>
      <c r="I1377" s="591">
        <f>I1378+I1379</f>
        <v>0</v>
      </c>
      <c r="J1377" s="591">
        <f>J1378+J1379</f>
        <v>0</v>
      </c>
      <c r="K1377" s="591">
        <f t="shared" si="426"/>
        <v>0</v>
      </c>
      <c r="L1377" s="591">
        <f t="shared" si="427"/>
        <v>0</v>
      </c>
      <c r="M1377" s="217">
        <f t="shared" si="441"/>
        <v>0</v>
      </c>
      <c r="N1377" s="170">
        <f>N1378</f>
        <v>4932.8</v>
      </c>
      <c r="R1377" s="591">
        <f>R1378+R1379</f>
        <v>0</v>
      </c>
      <c r="S1377" s="591">
        <f>S1378+S1379</f>
        <v>0</v>
      </c>
      <c r="T1377" s="217">
        <f t="shared" si="438"/>
        <v>0</v>
      </c>
      <c r="U1377" s="498">
        <f>U1378</f>
        <v>0</v>
      </c>
      <c r="V1377" s="498">
        <f>V1378</f>
        <v>0</v>
      </c>
      <c r="W1377" s="203">
        <f t="shared" si="439"/>
        <v>0</v>
      </c>
      <c r="X1377" s="203">
        <f t="shared" si="440"/>
        <v>0</v>
      </c>
    </row>
    <row r="1378" spans="1:24" ht="15" hidden="1" x14ac:dyDescent="0.2">
      <c r="A1378" s="124" t="s">
        <v>1576</v>
      </c>
      <c r="B1378" s="243" t="s">
        <v>98</v>
      </c>
      <c r="C1378" s="353" t="s">
        <v>605</v>
      </c>
      <c r="D1378" s="353" t="s">
        <v>620</v>
      </c>
      <c r="E1378" s="369">
        <v>9990082230</v>
      </c>
      <c r="F1378" s="369">
        <v>121</v>
      </c>
      <c r="G1378" s="288">
        <v>0</v>
      </c>
      <c r="H1378" s="288"/>
      <c r="I1378" s="288">
        <v>0</v>
      </c>
      <c r="J1378" s="288"/>
      <c r="K1378" s="43">
        <f t="shared" si="426"/>
        <v>0</v>
      </c>
      <c r="L1378" s="43">
        <f t="shared" si="427"/>
        <v>0</v>
      </c>
      <c r="M1378" s="217">
        <f t="shared" si="441"/>
        <v>0</v>
      </c>
      <c r="N1378" s="171">
        <f>3591.6+1341.2</f>
        <v>4932.8</v>
      </c>
      <c r="R1378" s="288">
        <v>0</v>
      </c>
      <c r="S1378" s="288"/>
      <c r="T1378" s="217">
        <f t="shared" si="438"/>
        <v>0</v>
      </c>
      <c r="U1378" s="288"/>
      <c r="V1378" s="288"/>
      <c r="W1378" s="203">
        <f t="shared" si="439"/>
        <v>0</v>
      </c>
      <c r="X1378" s="203">
        <f t="shared" si="440"/>
        <v>0</v>
      </c>
    </row>
    <row r="1379" spans="1:24" ht="25.5" hidden="1" x14ac:dyDescent="0.2">
      <c r="A1379" s="124" t="s">
        <v>1578</v>
      </c>
      <c r="B1379" s="243" t="s">
        <v>98</v>
      </c>
      <c r="C1379" s="353" t="s">
        <v>605</v>
      </c>
      <c r="D1379" s="353" t="s">
        <v>620</v>
      </c>
      <c r="E1379" s="369">
        <v>9990082230</v>
      </c>
      <c r="F1379" s="369">
        <v>129</v>
      </c>
      <c r="G1379" s="288">
        <v>0</v>
      </c>
      <c r="H1379" s="288"/>
      <c r="I1379" s="288">
        <v>0</v>
      </c>
      <c r="J1379" s="288"/>
      <c r="K1379" s="43">
        <f t="shared" ref="K1379:K1449" si="442">I1379-G1379</f>
        <v>0</v>
      </c>
      <c r="L1379" s="43">
        <f t="shared" ref="L1379:L1449" si="443">J1379-H1379</f>
        <v>0</v>
      </c>
      <c r="M1379" s="217">
        <f t="shared" si="441"/>
        <v>0</v>
      </c>
      <c r="N1379" s="171"/>
      <c r="R1379" s="288">
        <v>0</v>
      </c>
      <c r="S1379" s="288"/>
      <c r="T1379" s="217">
        <f t="shared" si="438"/>
        <v>0</v>
      </c>
      <c r="U1379" s="288"/>
      <c r="V1379" s="288"/>
      <c r="W1379" s="203">
        <f t="shared" si="439"/>
        <v>0</v>
      </c>
      <c r="X1379" s="203">
        <f t="shared" si="440"/>
        <v>0</v>
      </c>
    </row>
    <row r="1380" spans="1:24" ht="15" hidden="1" x14ac:dyDescent="0.2">
      <c r="A1380" s="121" t="s">
        <v>1661</v>
      </c>
      <c r="B1380" s="388" t="s">
        <v>98</v>
      </c>
      <c r="C1380" s="389" t="s">
        <v>605</v>
      </c>
      <c r="D1380" s="389" t="s">
        <v>620</v>
      </c>
      <c r="E1380" s="390">
        <v>9990082240</v>
      </c>
      <c r="F1380" s="390"/>
      <c r="G1380" s="391">
        <f>G1381</f>
        <v>0</v>
      </c>
      <c r="H1380" s="391">
        <f>H1381</f>
        <v>0</v>
      </c>
      <c r="I1380" s="391">
        <f>I1381</f>
        <v>0</v>
      </c>
      <c r="J1380" s="391">
        <f>J1381</f>
        <v>0</v>
      </c>
      <c r="K1380" s="391">
        <f t="shared" si="442"/>
        <v>0</v>
      </c>
      <c r="L1380" s="391">
        <f t="shared" si="443"/>
        <v>0</v>
      </c>
      <c r="M1380" s="217"/>
      <c r="N1380" s="171"/>
      <c r="R1380" s="391">
        <f>R1381</f>
        <v>200</v>
      </c>
      <c r="S1380" s="391">
        <f>S1381</f>
        <v>0</v>
      </c>
      <c r="T1380" s="217"/>
      <c r="U1380" s="288"/>
      <c r="V1380" s="288"/>
      <c r="W1380" s="203"/>
      <c r="X1380" s="203"/>
    </row>
    <row r="1381" spans="1:24" ht="15" hidden="1" x14ac:dyDescent="0.2">
      <c r="A1381" s="124" t="s">
        <v>834</v>
      </c>
      <c r="B1381" s="243" t="s">
        <v>98</v>
      </c>
      <c r="C1381" s="353" t="s">
        <v>605</v>
      </c>
      <c r="D1381" s="353" t="s">
        <v>620</v>
      </c>
      <c r="E1381" s="369">
        <v>9990082240</v>
      </c>
      <c r="F1381" s="369">
        <v>244</v>
      </c>
      <c r="G1381" s="288"/>
      <c r="H1381" s="288"/>
      <c r="I1381" s="288"/>
      <c r="J1381" s="288"/>
      <c r="K1381" s="43">
        <f t="shared" si="442"/>
        <v>0</v>
      </c>
      <c r="L1381" s="43">
        <f t="shared" si="443"/>
        <v>0</v>
      </c>
      <c r="M1381" s="217"/>
      <c r="N1381" s="171"/>
      <c r="R1381" s="288">
        <v>200</v>
      </c>
      <c r="S1381" s="288"/>
      <c r="T1381" s="217"/>
      <c r="U1381" s="288"/>
      <c r="V1381" s="288"/>
      <c r="W1381" s="203"/>
      <c r="X1381" s="203"/>
    </row>
    <row r="1382" spans="1:24" ht="15" x14ac:dyDescent="0.2">
      <c r="A1382" s="742" t="s">
        <v>1782</v>
      </c>
      <c r="B1382" s="388" t="s">
        <v>98</v>
      </c>
      <c r="C1382" s="389" t="s">
        <v>605</v>
      </c>
      <c r="D1382" s="389" t="s">
        <v>620</v>
      </c>
      <c r="E1382" s="390">
        <v>9990082270</v>
      </c>
      <c r="F1382" s="390"/>
      <c r="G1382" s="391">
        <f>G1383</f>
        <v>90.2</v>
      </c>
      <c r="H1382" s="391">
        <f>H1383</f>
        <v>0</v>
      </c>
      <c r="I1382" s="391">
        <f>I1383</f>
        <v>90.2</v>
      </c>
      <c r="J1382" s="391">
        <f>J1383</f>
        <v>0</v>
      </c>
      <c r="K1382" s="391">
        <f t="shared" si="442"/>
        <v>0</v>
      </c>
      <c r="L1382" s="391">
        <f t="shared" si="443"/>
        <v>0</v>
      </c>
      <c r="M1382" s="217"/>
      <c r="N1382" s="171"/>
      <c r="R1382" s="288"/>
      <c r="S1382" s="288"/>
      <c r="T1382" s="217"/>
      <c r="U1382" s="288"/>
      <c r="V1382" s="288"/>
      <c r="W1382" s="203"/>
      <c r="X1382" s="203"/>
    </row>
    <row r="1383" spans="1:24" ht="15" x14ac:dyDescent="0.2">
      <c r="A1383" s="739" t="s">
        <v>303</v>
      </c>
      <c r="B1383" s="243" t="s">
        <v>98</v>
      </c>
      <c r="C1383" s="353" t="s">
        <v>605</v>
      </c>
      <c r="D1383" s="353" t="s">
        <v>620</v>
      </c>
      <c r="E1383" s="369">
        <v>9990082270</v>
      </c>
      <c r="F1383" s="369">
        <v>853</v>
      </c>
      <c r="G1383" s="288">
        <v>90.2</v>
      </c>
      <c r="H1383" s="288"/>
      <c r="I1383" s="288">
        <v>90.2</v>
      </c>
      <c r="J1383" s="288"/>
      <c r="K1383" s="43">
        <f t="shared" si="442"/>
        <v>0</v>
      </c>
      <c r="L1383" s="43">
        <f t="shared" si="443"/>
        <v>0</v>
      </c>
      <c r="M1383" s="217"/>
      <c r="N1383" s="171"/>
      <c r="R1383" s="288"/>
      <c r="S1383" s="288"/>
      <c r="T1383" s="217"/>
      <c r="U1383" s="288"/>
      <c r="V1383" s="288"/>
      <c r="W1383" s="203"/>
      <c r="X1383" s="203"/>
    </row>
    <row r="1384" spans="1:24" ht="15" hidden="1" x14ac:dyDescent="0.2">
      <c r="A1384" s="641" t="s">
        <v>1822</v>
      </c>
      <c r="B1384" s="306" t="s">
        <v>98</v>
      </c>
      <c r="C1384" s="354" t="s">
        <v>605</v>
      </c>
      <c r="D1384" s="354" t="s">
        <v>620</v>
      </c>
      <c r="E1384" s="450" t="s">
        <v>574</v>
      </c>
      <c r="F1384" s="450"/>
      <c r="G1384" s="498">
        <f>SUM(G1385:G1387)</f>
        <v>0</v>
      </c>
      <c r="H1384" s="591">
        <f>SUM(H1385:H1387)</f>
        <v>0</v>
      </c>
      <c r="I1384" s="591">
        <f>SUM(I1385:I1387)</f>
        <v>0</v>
      </c>
      <c r="J1384" s="591">
        <f>SUM(J1385:J1387)</f>
        <v>0</v>
      </c>
      <c r="K1384" s="591">
        <f t="shared" si="442"/>
        <v>0</v>
      </c>
      <c r="L1384" s="591">
        <f t="shared" si="443"/>
        <v>0</v>
      </c>
      <c r="M1384" s="217">
        <f>I1384-G1384-K1384</f>
        <v>0</v>
      </c>
      <c r="N1384" s="170">
        <f>N1386</f>
        <v>4932.8</v>
      </c>
      <c r="R1384" s="591">
        <f>SUM(R1385:R1387)</f>
        <v>16.745190000000001</v>
      </c>
      <c r="S1384" s="591">
        <f>SUM(S1385:S1387)</f>
        <v>0</v>
      </c>
      <c r="T1384" s="217">
        <f t="shared" si="438"/>
        <v>0</v>
      </c>
      <c r="U1384" s="498">
        <f>U1386</f>
        <v>2500</v>
      </c>
      <c r="V1384" s="498">
        <f>V1386</f>
        <v>0</v>
      </c>
      <c r="W1384" s="203">
        <f t="shared" si="439"/>
        <v>0</v>
      </c>
      <c r="X1384" s="203">
        <f t="shared" si="440"/>
        <v>0</v>
      </c>
    </row>
    <row r="1385" spans="1:24" ht="15" hidden="1" x14ac:dyDescent="0.2">
      <c r="A1385" s="124" t="s">
        <v>1579</v>
      </c>
      <c r="B1385" s="243" t="s">
        <v>98</v>
      </c>
      <c r="C1385" s="353" t="s">
        <v>605</v>
      </c>
      <c r="D1385" s="353" t="s">
        <v>620</v>
      </c>
      <c r="E1385" s="369" t="s">
        <v>574</v>
      </c>
      <c r="F1385" s="369">
        <v>247</v>
      </c>
      <c r="G1385" s="288"/>
      <c r="H1385" s="288"/>
      <c r="I1385" s="288"/>
      <c r="J1385" s="288"/>
      <c r="K1385" s="43">
        <f t="shared" si="442"/>
        <v>0</v>
      </c>
      <c r="L1385" s="43">
        <f t="shared" si="443"/>
        <v>0</v>
      </c>
      <c r="M1385" s="217"/>
      <c r="N1385" s="170"/>
      <c r="R1385" s="288">
        <v>9.0266400000000004</v>
      </c>
      <c r="S1385" s="288"/>
      <c r="T1385" s="217"/>
      <c r="U1385" s="591"/>
      <c r="V1385" s="591"/>
      <c r="W1385" s="203"/>
      <c r="X1385" s="203"/>
    </row>
    <row r="1386" spans="1:24" ht="25.5" hidden="1" x14ac:dyDescent="0.2">
      <c r="A1386" s="124" t="s">
        <v>1580</v>
      </c>
      <c r="B1386" s="243" t="s">
        <v>98</v>
      </c>
      <c r="C1386" s="353" t="s">
        <v>605</v>
      </c>
      <c r="D1386" s="353" t="s">
        <v>620</v>
      </c>
      <c r="E1386" s="369" t="s">
        <v>574</v>
      </c>
      <c r="F1386" s="369" t="s">
        <v>48</v>
      </c>
      <c r="G1386" s="288"/>
      <c r="H1386" s="288"/>
      <c r="I1386" s="288"/>
      <c r="J1386" s="288"/>
      <c r="K1386" s="43">
        <f t="shared" si="442"/>
        <v>0</v>
      </c>
      <c r="L1386" s="43">
        <f t="shared" si="443"/>
        <v>0</v>
      </c>
      <c r="M1386" s="217">
        <f>I1386-G1386-K1386</f>
        <v>0</v>
      </c>
      <c r="N1386" s="171">
        <f>3591.6+1341.2</f>
        <v>4932.8</v>
      </c>
      <c r="R1386" s="288">
        <v>4</v>
      </c>
      <c r="S1386" s="288"/>
      <c r="T1386" s="217">
        <f t="shared" si="438"/>
        <v>0</v>
      </c>
      <c r="U1386" s="288">
        <v>2500</v>
      </c>
      <c r="V1386" s="288">
        <v>0</v>
      </c>
      <c r="W1386" s="203">
        <f>G1386-I1386</f>
        <v>0</v>
      </c>
      <c r="X1386" s="203">
        <f>K1386+W1386</f>
        <v>0</v>
      </c>
    </row>
    <row r="1387" spans="1:24" ht="15" hidden="1" x14ac:dyDescent="0.2">
      <c r="A1387" s="186" t="s">
        <v>303</v>
      </c>
      <c r="B1387" s="243" t="s">
        <v>98</v>
      </c>
      <c r="C1387" s="353" t="s">
        <v>605</v>
      </c>
      <c r="D1387" s="353" t="s">
        <v>620</v>
      </c>
      <c r="E1387" s="369" t="s">
        <v>574</v>
      </c>
      <c r="F1387" s="369">
        <v>853</v>
      </c>
      <c r="G1387" s="288"/>
      <c r="H1387" s="288"/>
      <c r="I1387" s="288"/>
      <c r="J1387" s="288"/>
      <c r="K1387" s="43">
        <f t="shared" si="442"/>
        <v>0</v>
      </c>
      <c r="L1387" s="43">
        <f t="shared" si="443"/>
        <v>0</v>
      </c>
      <c r="M1387" s="217"/>
      <c r="N1387" s="171"/>
      <c r="R1387" s="288">
        <v>3.71855</v>
      </c>
      <c r="S1387" s="288"/>
      <c r="T1387" s="217"/>
      <c r="U1387" s="288"/>
      <c r="V1387" s="288"/>
      <c r="W1387" s="203"/>
      <c r="X1387" s="203"/>
    </row>
    <row r="1388" spans="1:24" s="164" customFormat="1" ht="15" hidden="1" x14ac:dyDescent="0.2">
      <c r="A1388" s="505" t="s">
        <v>1543</v>
      </c>
      <c r="B1388" s="306" t="s">
        <v>98</v>
      </c>
      <c r="C1388" s="354" t="s">
        <v>605</v>
      </c>
      <c r="D1388" s="354" t="s">
        <v>620</v>
      </c>
      <c r="E1388" s="506" t="s">
        <v>1405</v>
      </c>
      <c r="F1388" s="495"/>
      <c r="G1388" s="498">
        <f>G1389</f>
        <v>0</v>
      </c>
      <c r="H1388" s="498">
        <f>H1389</f>
        <v>0</v>
      </c>
      <c r="I1388" s="591">
        <f>I1389</f>
        <v>0</v>
      </c>
      <c r="J1388" s="591">
        <f>J1389</f>
        <v>0</v>
      </c>
      <c r="K1388" s="591">
        <f t="shared" si="442"/>
        <v>0</v>
      </c>
      <c r="L1388" s="591">
        <f t="shared" si="443"/>
        <v>0</v>
      </c>
      <c r="M1388" s="217">
        <f t="shared" ref="M1388:M1395" si="444">I1388-G1388-K1388</f>
        <v>0</v>
      </c>
      <c r="N1388" s="136" t="e">
        <f>#REF!+N1389+N1390</f>
        <v>#REF!</v>
      </c>
      <c r="R1388" s="591">
        <f>R1389</f>
        <v>0</v>
      </c>
      <c r="S1388" s="591">
        <f>S1389</f>
        <v>0</v>
      </c>
      <c r="T1388" s="217">
        <f>I1388-G1388</f>
        <v>0</v>
      </c>
      <c r="U1388" s="498">
        <f>U1389</f>
        <v>0</v>
      </c>
      <c r="V1388" s="498">
        <f>V1389</f>
        <v>0</v>
      </c>
      <c r="W1388" s="203">
        <f t="shared" ref="W1388:W1395" si="445">G1388-I1388</f>
        <v>0</v>
      </c>
      <c r="X1388" s="203">
        <f t="shared" ref="X1388:X1395" si="446">K1388+W1388</f>
        <v>0</v>
      </c>
    </row>
    <row r="1389" spans="1:24" s="164" customFormat="1" ht="15" hidden="1" x14ac:dyDescent="0.2">
      <c r="A1389" s="124" t="s">
        <v>1543</v>
      </c>
      <c r="B1389" s="243" t="s">
        <v>98</v>
      </c>
      <c r="C1389" s="353" t="s">
        <v>605</v>
      </c>
      <c r="D1389" s="353" t="s">
        <v>620</v>
      </c>
      <c r="E1389" s="386" t="s">
        <v>1405</v>
      </c>
      <c r="F1389" s="369" t="s">
        <v>634</v>
      </c>
      <c r="G1389" s="288">
        <v>0</v>
      </c>
      <c r="H1389" s="288">
        <v>0</v>
      </c>
      <c r="I1389" s="288">
        <v>0</v>
      </c>
      <c r="J1389" s="288">
        <v>0</v>
      </c>
      <c r="K1389" s="43">
        <f t="shared" si="442"/>
        <v>0</v>
      </c>
      <c r="L1389" s="43">
        <f t="shared" si="443"/>
        <v>0</v>
      </c>
      <c r="M1389" s="217">
        <f t="shared" si="444"/>
        <v>0</v>
      </c>
      <c r="N1389" s="137">
        <v>17.611999999999998</v>
      </c>
      <c r="R1389" s="288">
        <v>0</v>
      </c>
      <c r="S1389" s="288">
        <v>0</v>
      </c>
      <c r="T1389" s="217">
        <f>I1389-G1389</f>
        <v>0</v>
      </c>
      <c r="U1389" s="288">
        <v>0</v>
      </c>
      <c r="V1389" s="288">
        <v>0</v>
      </c>
      <c r="W1389" s="203">
        <f t="shared" si="445"/>
        <v>0</v>
      </c>
      <c r="X1389" s="203">
        <f t="shared" si="446"/>
        <v>0</v>
      </c>
    </row>
    <row r="1390" spans="1:24" s="164" customFormat="1" ht="15" hidden="1" x14ac:dyDescent="0.2">
      <c r="A1390" s="641" t="s">
        <v>236</v>
      </c>
      <c r="B1390" s="306" t="s">
        <v>98</v>
      </c>
      <c r="C1390" s="354" t="s">
        <v>605</v>
      </c>
      <c r="D1390" s="354" t="s">
        <v>620</v>
      </c>
      <c r="E1390" s="450" t="s">
        <v>536</v>
      </c>
      <c r="F1390" s="450"/>
      <c r="G1390" s="498">
        <f>G1392+G1391+G1393</f>
        <v>0</v>
      </c>
      <c r="H1390" s="498">
        <f>H1392+H1391+H1393</f>
        <v>0</v>
      </c>
      <c r="I1390" s="591">
        <f>I1392+I1391+I1393</f>
        <v>0</v>
      </c>
      <c r="J1390" s="591">
        <f>J1392+J1391+J1393</f>
        <v>0</v>
      </c>
      <c r="K1390" s="591">
        <f t="shared" si="442"/>
        <v>0</v>
      </c>
      <c r="L1390" s="591">
        <f t="shared" si="443"/>
        <v>0</v>
      </c>
      <c r="M1390" s="217">
        <f t="shared" si="444"/>
        <v>0</v>
      </c>
      <c r="N1390" s="136">
        <f>N1392+N1391+N1393</f>
        <v>17.611999999999998</v>
      </c>
      <c r="R1390" s="591">
        <f>R1392+R1391+R1393</f>
        <v>0</v>
      </c>
      <c r="S1390" s="591">
        <f>S1392+S1391+S1393</f>
        <v>0</v>
      </c>
      <c r="T1390" s="217">
        <f t="shared" si="438"/>
        <v>0</v>
      </c>
      <c r="U1390" s="498">
        <f>U1392+U1391+U1393</f>
        <v>0</v>
      </c>
      <c r="V1390" s="498">
        <f>V1392+V1391+V1393</f>
        <v>0</v>
      </c>
      <c r="W1390" s="203">
        <f t="shared" si="445"/>
        <v>0</v>
      </c>
      <c r="X1390" s="203">
        <f t="shared" si="446"/>
        <v>0</v>
      </c>
    </row>
    <row r="1391" spans="1:24" s="164" customFormat="1" ht="15" hidden="1" x14ac:dyDescent="0.2">
      <c r="A1391" s="124" t="s">
        <v>834</v>
      </c>
      <c r="B1391" s="243" t="s">
        <v>98</v>
      </c>
      <c r="C1391" s="353" t="s">
        <v>605</v>
      </c>
      <c r="D1391" s="353" t="s">
        <v>620</v>
      </c>
      <c r="E1391" s="369" t="s">
        <v>536</v>
      </c>
      <c r="F1391" s="369" t="s">
        <v>634</v>
      </c>
      <c r="G1391" s="288"/>
      <c r="H1391" s="288"/>
      <c r="I1391" s="288"/>
      <c r="J1391" s="288"/>
      <c r="K1391" s="43">
        <f t="shared" si="442"/>
        <v>0</v>
      </c>
      <c r="L1391" s="43">
        <f t="shared" si="443"/>
        <v>0</v>
      </c>
      <c r="M1391" s="217">
        <f t="shared" si="444"/>
        <v>0</v>
      </c>
      <c r="N1391" s="137">
        <v>17.611999999999998</v>
      </c>
      <c r="R1391" s="288"/>
      <c r="S1391" s="288"/>
      <c r="T1391" s="217">
        <f t="shared" si="438"/>
        <v>0</v>
      </c>
      <c r="U1391" s="288"/>
      <c r="V1391" s="288"/>
      <c r="W1391" s="203">
        <f t="shared" si="445"/>
        <v>0</v>
      </c>
      <c r="X1391" s="203">
        <f t="shared" si="446"/>
        <v>0</v>
      </c>
    </row>
    <row r="1392" spans="1:24" s="164" customFormat="1" ht="14.25" hidden="1" customHeight="1" x14ac:dyDescent="0.2">
      <c r="A1392" s="186" t="s">
        <v>1140</v>
      </c>
      <c r="B1392" s="243" t="s">
        <v>98</v>
      </c>
      <c r="C1392" s="353" t="s">
        <v>605</v>
      </c>
      <c r="D1392" s="353" t="s">
        <v>620</v>
      </c>
      <c r="E1392" s="369" t="s">
        <v>536</v>
      </c>
      <c r="F1392" s="369">
        <v>350</v>
      </c>
      <c r="G1392" s="288"/>
      <c r="H1392" s="288"/>
      <c r="I1392" s="288"/>
      <c r="J1392" s="288"/>
      <c r="K1392" s="43">
        <f t="shared" si="442"/>
        <v>0</v>
      </c>
      <c r="L1392" s="43">
        <f t="shared" si="443"/>
        <v>0</v>
      </c>
      <c r="M1392" s="217">
        <f t="shared" si="444"/>
        <v>0</v>
      </c>
      <c r="N1392" s="145"/>
      <c r="R1392" s="288"/>
      <c r="S1392" s="288"/>
      <c r="T1392" s="217">
        <f t="shared" si="438"/>
        <v>0</v>
      </c>
      <c r="U1392" s="288"/>
      <c r="V1392" s="288"/>
      <c r="W1392" s="203">
        <f t="shared" si="445"/>
        <v>0</v>
      </c>
      <c r="X1392" s="203">
        <f t="shared" si="446"/>
        <v>0</v>
      </c>
    </row>
    <row r="1393" spans="1:24" s="164" customFormat="1" ht="15" hidden="1" x14ac:dyDescent="0.2">
      <c r="A1393" s="124" t="s">
        <v>1543</v>
      </c>
      <c r="B1393" s="243" t="s">
        <v>98</v>
      </c>
      <c r="C1393" s="353" t="s">
        <v>605</v>
      </c>
      <c r="D1393" s="353" t="s">
        <v>620</v>
      </c>
      <c r="E1393" s="369" t="s">
        <v>536</v>
      </c>
      <c r="F1393" s="369" t="s">
        <v>302</v>
      </c>
      <c r="G1393" s="288"/>
      <c r="H1393" s="288"/>
      <c r="I1393" s="288"/>
      <c r="J1393" s="288"/>
      <c r="K1393" s="43">
        <f t="shared" si="442"/>
        <v>0</v>
      </c>
      <c r="L1393" s="43">
        <f t="shared" si="443"/>
        <v>0</v>
      </c>
      <c r="M1393" s="217">
        <f t="shared" si="444"/>
        <v>0</v>
      </c>
      <c r="N1393" s="145"/>
      <c r="R1393" s="288"/>
      <c r="S1393" s="288"/>
      <c r="T1393" s="217">
        <f t="shared" si="438"/>
        <v>0</v>
      </c>
      <c r="U1393" s="288"/>
      <c r="V1393" s="288"/>
      <c r="W1393" s="203">
        <f t="shared" si="445"/>
        <v>0</v>
      </c>
      <c r="X1393" s="203">
        <f t="shared" si="446"/>
        <v>0</v>
      </c>
    </row>
    <row r="1394" spans="1:24" s="164" customFormat="1" ht="15" x14ac:dyDescent="0.2">
      <c r="A1394" s="746" t="s">
        <v>49</v>
      </c>
      <c r="B1394" s="306" t="s">
        <v>98</v>
      </c>
      <c r="C1394" s="354" t="s">
        <v>605</v>
      </c>
      <c r="D1394" s="354" t="s">
        <v>620</v>
      </c>
      <c r="E1394" s="450">
        <v>9990082900</v>
      </c>
      <c r="F1394" s="450"/>
      <c r="G1394" s="591">
        <f>G1395+G1396</f>
        <v>59.70064</v>
      </c>
      <c r="H1394" s="591">
        <f>H1395+H1396</f>
        <v>0</v>
      </c>
      <c r="I1394" s="591">
        <f>I1395+I1396</f>
        <v>47.70064</v>
      </c>
      <c r="J1394" s="591">
        <f>J1395+J1396</f>
        <v>0</v>
      </c>
      <c r="K1394" s="591">
        <f t="shared" si="442"/>
        <v>-12</v>
      </c>
      <c r="L1394" s="591">
        <f t="shared" si="443"/>
        <v>0</v>
      </c>
      <c r="M1394" s="217">
        <f t="shared" si="444"/>
        <v>0</v>
      </c>
      <c r="N1394" s="145"/>
      <c r="R1394" s="591">
        <f>R1395+R1396</f>
        <v>1177.2114900000001</v>
      </c>
      <c r="S1394" s="591">
        <f>S1395</f>
        <v>0</v>
      </c>
      <c r="T1394" s="217">
        <f t="shared" si="438"/>
        <v>-12</v>
      </c>
      <c r="U1394" s="498">
        <f>U1395</f>
        <v>0</v>
      </c>
      <c r="V1394" s="498">
        <f>V1395</f>
        <v>0</v>
      </c>
      <c r="W1394" s="203">
        <f t="shared" si="445"/>
        <v>12</v>
      </c>
      <c r="X1394" s="203">
        <f t="shared" si="446"/>
        <v>0</v>
      </c>
    </row>
    <row r="1395" spans="1:24" s="164" customFormat="1" ht="24" customHeight="1" x14ac:dyDescent="0.2">
      <c r="A1395" s="744" t="s">
        <v>834</v>
      </c>
      <c r="B1395" s="243" t="s">
        <v>98</v>
      </c>
      <c r="C1395" s="353" t="s">
        <v>605</v>
      </c>
      <c r="D1395" s="353" t="s">
        <v>620</v>
      </c>
      <c r="E1395" s="369">
        <v>9990082900</v>
      </c>
      <c r="F1395" s="369" t="s">
        <v>634</v>
      </c>
      <c r="G1395" s="288">
        <v>59.70064</v>
      </c>
      <c r="H1395" s="288"/>
      <c r="I1395" s="288">
        <v>47.70064</v>
      </c>
      <c r="J1395" s="288"/>
      <c r="K1395" s="43">
        <f t="shared" si="442"/>
        <v>-12</v>
      </c>
      <c r="L1395" s="43">
        <f t="shared" si="443"/>
        <v>0</v>
      </c>
      <c r="M1395" s="217">
        <f t="shared" si="444"/>
        <v>0</v>
      </c>
      <c r="N1395" s="145"/>
      <c r="R1395" s="288">
        <v>718.41800000000001</v>
      </c>
      <c r="S1395" s="288"/>
      <c r="T1395" s="217">
        <f t="shared" si="438"/>
        <v>-12</v>
      </c>
      <c r="U1395" s="288"/>
      <c r="V1395" s="288"/>
      <c r="W1395" s="203">
        <f t="shared" si="445"/>
        <v>12</v>
      </c>
      <c r="X1395" s="203">
        <f t="shared" si="446"/>
        <v>0</v>
      </c>
    </row>
    <row r="1396" spans="1:24" s="164" customFormat="1" ht="10.5" hidden="1" customHeight="1" x14ac:dyDescent="0.2">
      <c r="A1396" s="124" t="s">
        <v>1554</v>
      </c>
      <c r="B1396" s="243" t="s">
        <v>98</v>
      </c>
      <c r="C1396" s="353" t="s">
        <v>605</v>
      </c>
      <c r="D1396" s="353" t="s">
        <v>620</v>
      </c>
      <c r="E1396" s="369">
        <v>9990082900</v>
      </c>
      <c r="F1396" s="369">
        <v>350</v>
      </c>
      <c r="G1396" s="288"/>
      <c r="H1396" s="288"/>
      <c r="I1396" s="288"/>
      <c r="J1396" s="288"/>
      <c r="K1396" s="43">
        <f t="shared" si="442"/>
        <v>0</v>
      </c>
      <c r="L1396" s="43">
        <f t="shared" si="443"/>
        <v>0</v>
      </c>
      <c r="M1396" s="217"/>
      <c r="N1396" s="145"/>
      <c r="R1396" s="288">
        <v>458.79349000000002</v>
      </c>
      <c r="S1396" s="288"/>
      <c r="T1396" s="217"/>
      <c r="U1396" s="288"/>
      <c r="V1396" s="288"/>
      <c r="W1396" s="203"/>
      <c r="X1396" s="203"/>
    </row>
    <row r="1397" spans="1:24" s="164" customFormat="1" ht="11.25" customHeight="1" x14ac:dyDescent="0.2">
      <c r="A1397" s="746" t="s">
        <v>1566</v>
      </c>
      <c r="B1397" s="306" t="s">
        <v>98</v>
      </c>
      <c r="C1397" s="354" t="s">
        <v>605</v>
      </c>
      <c r="D1397" s="354" t="s">
        <v>620</v>
      </c>
      <c r="E1397" s="450" t="s">
        <v>536</v>
      </c>
      <c r="F1397" s="450"/>
      <c r="G1397" s="591">
        <f>SUM(G1398:G1400)</f>
        <v>307.05</v>
      </c>
      <c r="H1397" s="591">
        <f>SUM(H1398:H1400)</f>
        <v>0</v>
      </c>
      <c r="I1397" s="591">
        <f>SUM(I1398:I1400)</f>
        <v>407.05</v>
      </c>
      <c r="J1397" s="591">
        <f>SUM(J1398:J1400)</f>
        <v>0</v>
      </c>
      <c r="K1397" s="591">
        <f t="shared" si="442"/>
        <v>100</v>
      </c>
      <c r="L1397" s="591">
        <f t="shared" si="443"/>
        <v>0</v>
      </c>
      <c r="M1397" s="217">
        <f t="shared" ref="M1397:M1408" si="447">I1397-G1397-K1397</f>
        <v>0</v>
      </c>
      <c r="N1397" s="145"/>
      <c r="R1397" s="591">
        <f>SUM(R1398:R1400)</f>
        <v>368.44500000000005</v>
      </c>
      <c r="S1397" s="591">
        <f>SUM(S1398:S1400)</f>
        <v>0</v>
      </c>
      <c r="T1397" s="217"/>
      <c r="U1397" s="498">
        <f>SUM(U1398:U1400)</f>
        <v>50</v>
      </c>
      <c r="V1397" s="498">
        <f>SUM(V1398:V1400)</f>
        <v>0</v>
      </c>
      <c r="W1397" s="203">
        <f>G1397-I1397</f>
        <v>-100</v>
      </c>
      <c r="X1397" s="203">
        <f>K1397+W1397</f>
        <v>0</v>
      </c>
    </row>
    <row r="1398" spans="1:24" s="164" customFormat="1" ht="15.75" customHeight="1" x14ac:dyDescent="0.2">
      <c r="A1398" s="739" t="s">
        <v>1558</v>
      </c>
      <c r="B1398" s="243" t="s">
        <v>98</v>
      </c>
      <c r="C1398" s="353" t="s">
        <v>605</v>
      </c>
      <c r="D1398" s="353" t="s">
        <v>620</v>
      </c>
      <c r="E1398" s="369" t="s">
        <v>536</v>
      </c>
      <c r="F1398" s="369" t="s">
        <v>634</v>
      </c>
      <c r="G1398" s="288">
        <v>307.05</v>
      </c>
      <c r="H1398" s="288"/>
      <c r="I1398" s="288">
        <v>407.05</v>
      </c>
      <c r="J1398" s="288"/>
      <c r="K1398" s="43">
        <f t="shared" si="442"/>
        <v>100</v>
      </c>
      <c r="L1398" s="43">
        <f t="shared" si="443"/>
        <v>0</v>
      </c>
      <c r="M1398" s="217">
        <f t="shared" si="447"/>
        <v>0</v>
      </c>
      <c r="N1398" s="145"/>
      <c r="R1398" s="288">
        <v>277.34500000000003</v>
      </c>
      <c r="S1398" s="288"/>
      <c r="T1398" s="217"/>
      <c r="U1398" s="288"/>
      <c r="V1398" s="288"/>
      <c r="W1398" s="203">
        <f>G1398-I1398</f>
        <v>-100</v>
      </c>
      <c r="X1398" s="203">
        <f>K1398+W1398</f>
        <v>0</v>
      </c>
    </row>
    <row r="1399" spans="1:24" s="164" customFormat="1" ht="15" hidden="1" customHeight="1" x14ac:dyDescent="0.2">
      <c r="A1399" s="186" t="s">
        <v>1543</v>
      </c>
      <c r="B1399" s="243" t="s">
        <v>98</v>
      </c>
      <c r="C1399" s="353" t="s">
        <v>605</v>
      </c>
      <c r="D1399" s="353" t="s">
        <v>620</v>
      </c>
      <c r="E1399" s="369" t="s">
        <v>536</v>
      </c>
      <c r="F1399" s="369">
        <v>350</v>
      </c>
      <c r="G1399" s="288"/>
      <c r="H1399" s="288"/>
      <c r="I1399" s="288"/>
      <c r="J1399" s="288"/>
      <c r="K1399" s="43">
        <f t="shared" si="442"/>
        <v>0</v>
      </c>
      <c r="L1399" s="43">
        <f t="shared" si="443"/>
        <v>0</v>
      </c>
      <c r="M1399" s="217">
        <f t="shared" si="447"/>
        <v>0</v>
      </c>
      <c r="N1399" s="145"/>
      <c r="R1399" s="288">
        <v>91.1</v>
      </c>
      <c r="S1399" s="288"/>
      <c r="T1399" s="217"/>
      <c r="U1399" s="288">
        <v>50</v>
      </c>
      <c r="V1399" s="288"/>
      <c r="W1399" s="203">
        <f>G1399-I1399</f>
        <v>0</v>
      </c>
      <c r="X1399" s="203">
        <f>K1399+W1399</f>
        <v>0</v>
      </c>
    </row>
    <row r="1400" spans="1:24" s="164" customFormat="1" ht="17.25" hidden="1" customHeight="1" x14ac:dyDescent="0.2">
      <c r="A1400" s="124" t="s">
        <v>1543</v>
      </c>
      <c r="B1400" s="243" t="s">
        <v>98</v>
      </c>
      <c r="C1400" s="353" t="s">
        <v>605</v>
      </c>
      <c r="D1400" s="353" t="s">
        <v>620</v>
      </c>
      <c r="E1400" s="369" t="s">
        <v>536</v>
      </c>
      <c r="F1400" s="369" t="s">
        <v>302</v>
      </c>
      <c r="G1400" s="288"/>
      <c r="H1400" s="288"/>
      <c r="I1400" s="288"/>
      <c r="J1400" s="288"/>
      <c r="K1400" s="43">
        <f t="shared" si="442"/>
        <v>0</v>
      </c>
      <c r="L1400" s="43">
        <f t="shared" si="443"/>
        <v>0</v>
      </c>
      <c r="M1400" s="217">
        <f t="shared" si="447"/>
        <v>0</v>
      </c>
      <c r="N1400" s="145"/>
      <c r="R1400" s="288"/>
      <c r="S1400" s="288"/>
      <c r="T1400" s="217"/>
      <c r="U1400" s="288"/>
      <c r="V1400" s="288"/>
      <c r="W1400" s="203">
        <f>G1400-I1400</f>
        <v>0</v>
      </c>
      <c r="X1400" s="203">
        <f>K1400+W1400</f>
        <v>0</v>
      </c>
    </row>
    <row r="1401" spans="1:24" s="164" customFormat="1" ht="17.25" hidden="1" customHeight="1" x14ac:dyDescent="0.2">
      <c r="A1401" s="121" t="s">
        <v>1543</v>
      </c>
      <c r="B1401" s="388" t="s">
        <v>98</v>
      </c>
      <c r="C1401" s="389" t="s">
        <v>605</v>
      </c>
      <c r="D1401" s="389" t="s">
        <v>620</v>
      </c>
      <c r="E1401" s="390" t="s">
        <v>1228</v>
      </c>
      <c r="F1401" s="390"/>
      <c r="G1401" s="391">
        <f>G1402</f>
        <v>0</v>
      </c>
      <c r="H1401" s="391">
        <f>H1402</f>
        <v>0</v>
      </c>
      <c r="I1401" s="391">
        <f>I1402</f>
        <v>0</v>
      </c>
      <c r="J1401" s="391">
        <f>J1402</f>
        <v>0</v>
      </c>
      <c r="K1401" s="391">
        <f t="shared" si="442"/>
        <v>0</v>
      </c>
      <c r="L1401" s="391">
        <f t="shared" si="443"/>
        <v>0</v>
      </c>
      <c r="M1401" s="217">
        <f t="shared" si="447"/>
        <v>0</v>
      </c>
      <c r="N1401" s="145"/>
      <c r="R1401" s="391">
        <f>R1402</f>
        <v>0</v>
      </c>
      <c r="S1401" s="391">
        <f>S1402</f>
        <v>0</v>
      </c>
      <c r="T1401" s="217"/>
      <c r="U1401" s="391">
        <f>U1402</f>
        <v>0</v>
      </c>
      <c r="V1401" s="391">
        <f>V1402</f>
        <v>0</v>
      </c>
      <c r="W1401" s="203"/>
      <c r="X1401" s="203"/>
    </row>
    <row r="1402" spans="1:24" s="164" customFormat="1" ht="15.75" hidden="1" customHeight="1" x14ac:dyDescent="0.2">
      <c r="A1402" s="124" t="s">
        <v>1543</v>
      </c>
      <c r="B1402" s="243" t="s">
        <v>98</v>
      </c>
      <c r="C1402" s="353" t="s">
        <v>605</v>
      </c>
      <c r="D1402" s="353" t="s">
        <v>620</v>
      </c>
      <c r="E1402" s="369" t="s">
        <v>1228</v>
      </c>
      <c r="F1402" s="369">
        <v>244</v>
      </c>
      <c r="G1402" s="288"/>
      <c r="H1402" s="288"/>
      <c r="I1402" s="288"/>
      <c r="J1402" s="288"/>
      <c r="K1402" s="43">
        <f t="shared" si="442"/>
        <v>0</v>
      </c>
      <c r="L1402" s="43">
        <f t="shared" si="443"/>
        <v>0</v>
      </c>
      <c r="M1402" s="217">
        <f t="shared" si="447"/>
        <v>0</v>
      </c>
      <c r="N1402" s="145"/>
      <c r="R1402" s="288"/>
      <c r="S1402" s="288"/>
      <c r="T1402" s="217"/>
      <c r="U1402" s="288"/>
      <c r="V1402" s="288"/>
      <c r="W1402" s="203"/>
      <c r="X1402" s="203"/>
    </row>
    <row r="1403" spans="1:24" s="164" customFormat="1" ht="10.5" hidden="1" customHeight="1" x14ac:dyDescent="0.2">
      <c r="A1403" s="121" t="s">
        <v>1543</v>
      </c>
      <c r="B1403" s="388" t="s">
        <v>98</v>
      </c>
      <c r="C1403" s="389" t="s">
        <v>605</v>
      </c>
      <c r="D1403" s="389" t="s">
        <v>620</v>
      </c>
      <c r="E1403" s="390" t="s">
        <v>1235</v>
      </c>
      <c r="F1403" s="390"/>
      <c r="G1403" s="391">
        <f>G1404</f>
        <v>0</v>
      </c>
      <c r="H1403" s="391">
        <f>H1404</f>
        <v>0</v>
      </c>
      <c r="I1403" s="391">
        <f>I1404</f>
        <v>0</v>
      </c>
      <c r="J1403" s="391">
        <f>J1404</f>
        <v>0</v>
      </c>
      <c r="K1403" s="391">
        <f t="shared" si="442"/>
        <v>0</v>
      </c>
      <c r="L1403" s="391">
        <f t="shared" si="443"/>
        <v>0</v>
      </c>
      <c r="M1403" s="217">
        <f t="shared" si="447"/>
        <v>0</v>
      </c>
      <c r="N1403" s="145"/>
      <c r="R1403" s="391">
        <f>R1404</f>
        <v>0</v>
      </c>
      <c r="S1403" s="391">
        <f>S1404</f>
        <v>0</v>
      </c>
      <c r="T1403" s="217"/>
      <c r="U1403" s="391">
        <f>U1404</f>
        <v>0</v>
      </c>
      <c r="V1403" s="391">
        <f>V1404</f>
        <v>0</v>
      </c>
      <c r="W1403" s="203"/>
      <c r="X1403" s="203"/>
    </row>
    <row r="1404" spans="1:24" s="164" customFormat="1" ht="13.5" hidden="1" customHeight="1" x14ac:dyDescent="0.2">
      <c r="A1404" s="124" t="s">
        <v>1543</v>
      </c>
      <c r="B1404" s="243" t="s">
        <v>98</v>
      </c>
      <c r="C1404" s="353" t="s">
        <v>605</v>
      </c>
      <c r="D1404" s="353" t="s">
        <v>620</v>
      </c>
      <c r="E1404" s="369" t="s">
        <v>1235</v>
      </c>
      <c r="F1404" s="369">
        <v>244</v>
      </c>
      <c r="G1404" s="288"/>
      <c r="H1404" s="288"/>
      <c r="I1404" s="288"/>
      <c r="J1404" s="288"/>
      <c r="K1404" s="43">
        <f t="shared" si="442"/>
        <v>0</v>
      </c>
      <c r="L1404" s="43">
        <f t="shared" si="443"/>
        <v>0</v>
      </c>
      <c r="M1404" s="217">
        <f t="shared" si="447"/>
        <v>0</v>
      </c>
      <c r="N1404" s="145"/>
      <c r="R1404" s="288"/>
      <c r="S1404" s="288"/>
      <c r="T1404" s="217"/>
      <c r="U1404" s="288"/>
      <c r="V1404" s="288"/>
      <c r="W1404" s="203"/>
      <c r="X1404" s="203"/>
    </row>
    <row r="1405" spans="1:24" s="164" customFormat="1" ht="20.25" hidden="1" customHeight="1" x14ac:dyDescent="0.2">
      <c r="A1405" s="121" t="s">
        <v>1543</v>
      </c>
      <c r="B1405" s="388" t="s">
        <v>98</v>
      </c>
      <c r="C1405" s="389" t="s">
        <v>605</v>
      </c>
      <c r="D1405" s="389" t="s">
        <v>620</v>
      </c>
      <c r="E1405" s="390" t="s">
        <v>1237</v>
      </c>
      <c r="F1405" s="390"/>
      <c r="G1405" s="391">
        <f>G1406</f>
        <v>0</v>
      </c>
      <c r="H1405" s="391">
        <f>H1406</f>
        <v>0</v>
      </c>
      <c r="I1405" s="391">
        <f>I1406</f>
        <v>0</v>
      </c>
      <c r="J1405" s="391">
        <f>J1406</f>
        <v>0</v>
      </c>
      <c r="K1405" s="391">
        <f t="shared" si="442"/>
        <v>0</v>
      </c>
      <c r="L1405" s="391">
        <f t="shared" si="443"/>
        <v>0</v>
      </c>
      <c r="M1405" s="217">
        <f t="shared" si="447"/>
        <v>0</v>
      </c>
      <c r="N1405" s="145"/>
      <c r="R1405" s="391">
        <f>R1406</f>
        <v>0</v>
      </c>
      <c r="S1405" s="391">
        <f>S1406</f>
        <v>0</v>
      </c>
      <c r="T1405" s="217"/>
      <c r="U1405" s="391">
        <f>U1406</f>
        <v>0</v>
      </c>
      <c r="V1405" s="391">
        <f>V1406</f>
        <v>0</v>
      </c>
      <c r="W1405" s="203"/>
      <c r="X1405" s="203"/>
    </row>
    <row r="1406" spans="1:24" s="164" customFormat="1" ht="19.5" hidden="1" customHeight="1" x14ac:dyDescent="0.2">
      <c r="A1406" s="124" t="s">
        <v>1543</v>
      </c>
      <c r="B1406" s="243" t="s">
        <v>98</v>
      </c>
      <c r="C1406" s="353" t="s">
        <v>605</v>
      </c>
      <c r="D1406" s="353" t="s">
        <v>620</v>
      </c>
      <c r="E1406" s="369" t="s">
        <v>1237</v>
      </c>
      <c r="F1406" s="369">
        <v>244</v>
      </c>
      <c r="G1406" s="288"/>
      <c r="H1406" s="288"/>
      <c r="I1406" s="288"/>
      <c r="J1406" s="288"/>
      <c r="K1406" s="43">
        <f t="shared" si="442"/>
        <v>0</v>
      </c>
      <c r="L1406" s="43">
        <f t="shared" si="443"/>
        <v>0</v>
      </c>
      <c r="M1406" s="217">
        <f t="shared" si="447"/>
        <v>0</v>
      </c>
      <c r="N1406" s="145"/>
      <c r="R1406" s="288"/>
      <c r="S1406" s="288"/>
      <c r="T1406" s="217"/>
      <c r="U1406" s="288"/>
      <c r="V1406" s="288"/>
      <c r="W1406" s="203"/>
      <c r="X1406" s="203"/>
    </row>
    <row r="1407" spans="1:24" s="164" customFormat="1" ht="24" hidden="1" customHeight="1" x14ac:dyDescent="0.2">
      <c r="A1407" s="121" t="s">
        <v>1543</v>
      </c>
      <c r="B1407" s="388" t="s">
        <v>98</v>
      </c>
      <c r="C1407" s="389" t="s">
        <v>605</v>
      </c>
      <c r="D1407" s="389" t="s">
        <v>620</v>
      </c>
      <c r="E1407" s="390" t="s">
        <v>1236</v>
      </c>
      <c r="F1407" s="390"/>
      <c r="G1407" s="391">
        <f>G1408</f>
        <v>0</v>
      </c>
      <c r="H1407" s="391">
        <f>H1408</f>
        <v>0</v>
      </c>
      <c r="I1407" s="391">
        <f>I1408</f>
        <v>0</v>
      </c>
      <c r="J1407" s="391">
        <f>J1408</f>
        <v>0</v>
      </c>
      <c r="K1407" s="391">
        <f t="shared" si="442"/>
        <v>0</v>
      </c>
      <c r="L1407" s="391">
        <f t="shared" si="443"/>
        <v>0</v>
      </c>
      <c r="M1407" s="217">
        <f t="shared" si="447"/>
        <v>0</v>
      </c>
      <c r="N1407" s="145"/>
      <c r="R1407" s="391">
        <f>R1408</f>
        <v>0</v>
      </c>
      <c r="S1407" s="391">
        <f>S1408</f>
        <v>0</v>
      </c>
      <c r="T1407" s="217"/>
      <c r="U1407" s="391">
        <f>U1408</f>
        <v>0</v>
      </c>
      <c r="V1407" s="391">
        <f>V1408</f>
        <v>0</v>
      </c>
      <c r="W1407" s="203"/>
      <c r="X1407" s="203"/>
    </row>
    <row r="1408" spans="1:24" s="164" customFormat="1" ht="24" hidden="1" customHeight="1" x14ac:dyDescent="0.2">
      <c r="A1408" s="124" t="s">
        <v>1543</v>
      </c>
      <c r="B1408" s="243" t="s">
        <v>98</v>
      </c>
      <c r="C1408" s="353" t="s">
        <v>605</v>
      </c>
      <c r="D1408" s="353" t="s">
        <v>620</v>
      </c>
      <c r="E1408" s="369" t="s">
        <v>1236</v>
      </c>
      <c r="F1408" s="369">
        <v>244</v>
      </c>
      <c r="G1408" s="288"/>
      <c r="H1408" s="288"/>
      <c r="I1408" s="288"/>
      <c r="J1408" s="288"/>
      <c r="K1408" s="43">
        <f t="shared" si="442"/>
        <v>0</v>
      </c>
      <c r="L1408" s="43">
        <f t="shared" si="443"/>
        <v>0</v>
      </c>
      <c r="M1408" s="217">
        <f t="shared" si="447"/>
        <v>0</v>
      </c>
      <c r="N1408" s="145"/>
      <c r="R1408" s="288"/>
      <c r="S1408" s="288"/>
      <c r="T1408" s="217"/>
      <c r="U1408" s="288"/>
      <c r="V1408" s="288"/>
      <c r="W1408" s="203"/>
      <c r="X1408" s="203"/>
    </row>
    <row r="1409" spans="1:24" s="508" customFormat="1" ht="24" customHeight="1" x14ac:dyDescent="0.2">
      <c r="A1409" s="746" t="s">
        <v>1582</v>
      </c>
      <c r="B1409" s="306" t="s">
        <v>98</v>
      </c>
      <c r="C1409" s="354" t="s">
        <v>608</v>
      </c>
      <c r="D1409" s="354"/>
      <c r="E1409" s="495"/>
      <c r="F1409" s="495"/>
      <c r="G1409" s="591">
        <f>G1410</f>
        <v>2005.7360000000001</v>
      </c>
      <c r="H1409" s="591">
        <f>H1410</f>
        <v>0</v>
      </c>
      <c r="I1409" s="591">
        <f>I1410</f>
        <v>2515.7750000000001</v>
      </c>
      <c r="J1409" s="591">
        <f>J1410</f>
        <v>0</v>
      </c>
      <c r="K1409" s="591">
        <f t="shared" si="442"/>
        <v>510.03899999999999</v>
      </c>
      <c r="L1409" s="591">
        <f t="shared" si="443"/>
        <v>0</v>
      </c>
      <c r="M1409" s="309"/>
      <c r="N1409" s="507"/>
      <c r="R1409" s="591">
        <f>R1410</f>
        <v>1793.193</v>
      </c>
      <c r="S1409" s="591">
        <f>S1410</f>
        <v>0</v>
      </c>
      <c r="T1409" s="309"/>
      <c r="U1409" s="498">
        <f>U1410</f>
        <v>5467.0748000000003</v>
      </c>
      <c r="V1409" s="498">
        <f>V1410</f>
        <v>0</v>
      </c>
      <c r="W1409" s="310"/>
      <c r="X1409" s="310"/>
    </row>
    <row r="1410" spans="1:24" s="508" customFormat="1" ht="24" customHeight="1" x14ac:dyDescent="0.2">
      <c r="A1410" s="746" t="s">
        <v>282</v>
      </c>
      <c r="B1410" s="306" t="s">
        <v>98</v>
      </c>
      <c r="C1410" s="354" t="s">
        <v>608</v>
      </c>
      <c r="D1410" s="354" t="s">
        <v>619</v>
      </c>
      <c r="E1410" s="495"/>
      <c r="F1410" s="495"/>
      <c r="G1410" s="591">
        <f>G1416+G1411</f>
        <v>2005.7360000000001</v>
      </c>
      <c r="H1410" s="591">
        <f>H1416+H1411</f>
        <v>0</v>
      </c>
      <c r="I1410" s="591">
        <f>I1416+I1411</f>
        <v>2515.7750000000001</v>
      </c>
      <c r="J1410" s="591">
        <f>J1416+J1411</f>
        <v>0</v>
      </c>
      <c r="K1410" s="591">
        <f t="shared" si="442"/>
        <v>510.03899999999999</v>
      </c>
      <c r="L1410" s="591">
        <f t="shared" si="443"/>
        <v>0</v>
      </c>
      <c r="M1410" s="309"/>
      <c r="N1410" s="507"/>
      <c r="R1410" s="591">
        <f>R1416+R1411</f>
        <v>1793.193</v>
      </c>
      <c r="S1410" s="591">
        <f>S1416+S1411</f>
        <v>0</v>
      </c>
      <c r="T1410" s="309"/>
      <c r="U1410" s="498">
        <f>U1416+U1411</f>
        <v>5467.0748000000003</v>
      </c>
      <c r="V1410" s="498">
        <f>V1416+V1411</f>
        <v>0</v>
      </c>
      <c r="W1410" s="310"/>
      <c r="X1410" s="310"/>
    </row>
    <row r="1411" spans="1:24" s="307" customFormat="1" ht="25.5" hidden="1" customHeight="1" x14ac:dyDescent="0.2">
      <c r="A1411" s="641" t="s">
        <v>538</v>
      </c>
      <c r="B1411" s="306" t="s">
        <v>98</v>
      </c>
      <c r="C1411" s="354" t="s">
        <v>608</v>
      </c>
      <c r="D1411" s="354" t="s">
        <v>619</v>
      </c>
      <c r="E1411" s="506" t="s">
        <v>539</v>
      </c>
      <c r="F1411" s="506"/>
      <c r="G1411" s="498">
        <f t="shared" ref="G1411:J1414" si="448">G1412</f>
        <v>0</v>
      </c>
      <c r="H1411" s="498">
        <f t="shared" si="448"/>
        <v>0</v>
      </c>
      <c r="I1411" s="591">
        <f t="shared" si="448"/>
        <v>0</v>
      </c>
      <c r="J1411" s="591">
        <f t="shared" si="448"/>
        <v>0</v>
      </c>
      <c r="K1411" s="591">
        <f t="shared" si="442"/>
        <v>0</v>
      </c>
      <c r="L1411" s="591">
        <f t="shared" si="443"/>
        <v>0</v>
      </c>
      <c r="M1411" s="217">
        <f>I1411-G1411-K1411</f>
        <v>0</v>
      </c>
      <c r="N1411" s="292">
        <f>N1502</f>
        <v>0</v>
      </c>
      <c r="R1411" s="591">
        <f t="shared" ref="R1411:S1414" si="449">R1412</f>
        <v>0</v>
      </c>
      <c r="S1411" s="591">
        <f t="shared" si="449"/>
        <v>0</v>
      </c>
      <c r="T1411" s="309">
        <f>I1411-G1411</f>
        <v>0</v>
      </c>
      <c r="U1411" s="498">
        <f t="shared" ref="U1411:V1414" si="450">U1412</f>
        <v>4500</v>
      </c>
      <c r="V1411" s="498">
        <f t="shared" si="450"/>
        <v>0</v>
      </c>
      <c r="W1411" s="310">
        <f>G1411-I1411</f>
        <v>0</v>
      </c>
      <c r="X1411" s="310">
        <f>K1411+W1411</f>
        <v>0</v>
      </c>
    </row>
    <row r="1412" spans="1:24" s="307" customFormat="1" ht="27.75" hidden="1" customHeight="1" x14ac:dyDescent="0.2">
      <c r="A1412" s="641" t="s">
        <v>778</v>
      </c>
      <c r="B1412" s="306" t="s">
        <v>98</v>
      </c>
      <c r="C1412" s="354" t="s">
        <v>608</v>
      </c>
      <c r="D1412" s="354" t="s">
        <v>619</v>
      </c>
      <c r="E1412" s="506" t="s">
        <v>776</v>
      </c>
      <c r="F1412" s="506"/>
      <c r="G1412" s="498">
        <f t="shared" si="448"/>
        <v>0</v>
      </c>
      <c r="H1412" s="498">
        <f t="shared" si="448"/>
        <v>0</v>
      </c>
      <c r="I1412" s="591">
        <f t="shared" si="448"/>
        <v>0</v>
      </c>
      <c r="J1412" s="591">
        <f t="shared" si="448"/>
        <v>0</v>
      </c>
      <c r="K1412" s="591">
        <f t="shared" si="442"/>
        <v>0</v>
      </c>
      <c r="L1412" s="591">
        <f t="shared" si="443"/>
        <v>0</v>
      </c>
      <c r="M1412" s="217">
        <f>I1412-G1412-K1412</f>
        <v>0</v>
      </c>
      <c r="N1412" s="292" t="e">
        <f>#REF!+N1457+N1460</f>
        <v>#REF!</v>
      </c>
      <c r="R1412" s="591">
        <f t="shared" si="449"/>
        <v>0</v>
      </c>
      <c r="S1412" s="591">
        <f t="shared" si="449"/>
        <v>0</v>
      </c>
      <c r="T1412" s="309">
        <f>I1412-G1412</f>
        <v>0</v>
      </c>
      <c r="U1412" s="498">
        <f t="shared" si="450"/>
        <v>4500</v>
      </c>
      <c r="V1412" s="498">
        <f t="shared" si="450"/>
        <v>0</v>
      </c>
      <c r="W1412" s="310">
        <f>G1412-I1412</f>
        <v>0</v>
      </c>
      <c r="X1412" s="310">
        <f>K1412+W1412</f>
        <v>0</v>
      </c>
    </row>
    <row r="1413" spans="1:24" s="317" customFormat="1" ht="26.25" hidden="1" customHeight="1" x14ac:dyDescent="0.2">
      <c r="A1413" s="641" t="s">
        <v>1823</v>
      </c>
      <c r="B1413" s="306" t="s">
        <v>98</v>
      </c>
      <c r="C1413" s="354" t="s">
        <v>608</v>
      </c>
      <c r="D1413" s="354" t="s">
        <v>619</v>
      </c>
      <c r="E1413" s="506">
        <v>8120200000</v>
      </c>
      <c r="F1413" s="506"/>
      <c r="G1413" s="498">
        <f t="shared" si="448"/>
        <v>0</v>
      </c>
      <c r="H1413" s="498">
        <f t="shared" si="448"/>
        <v>0</v>
      </c>
      <c r="I1413" s="591">
        <f t="shared" si="448"/>
        <v>0</v>
      </c>
      <c r="J1413" s="591">
        <f t="shared" si="448"/>
        <v>0</v>
      </c>
      <c r="K1413" s="591">
        <f t="shared" si="442"/>
        <v>0</v>
      </c>
      <c r="L1413" s="591">
        <f t="shared" si="443"/>
        <v>0</v>
      </c>
      <c r="M1413" s="217">
        <f>I1413-G1413-K1413</f>
        <v>0</v>
      </c>
      <c r="N1413" s="318"/>
      <c r="R1413" s="591">
        <f t="shared" si="449"/>
        <v>0</v>
      </c>
      <c r="S1413" s="591">
        <f t="shared" si="449"/>
        <v>0</v>
      </c>
      <c r="T1413" s="319">
        <f>I1413-G1413</f>
        <v>0</v>
      </c>
      <c r="U1413" s="498">
        <f t="shared" si="450"/>
        <v>4500</v>
      </c>
      <c r="V1413" s="498">
        <f t="shared" si="450"/>
        <v>0</v>
      </c>
      <c r="W1413" s="310">
        <f>G1413-I1413</f>
        <v>0</v>
      </c>
      <c r="X1413" s="310">
        <f>K1413+W1413</f>
        <v>0</v>
      </c>
    </row>
    <row r="1414" spans="1:24" s="317" customFormat="1" ht="26.25" hidden="1" customHeight="1" x14ac:dyDescent="0.2">
      <c r="A1414" s="641" t="s">
        <v>1162</v>
      </c>
      <c r="B1414" s="306" t="s">
        <v>98</v>
      </c>
      <c r="C1414" s="354" t="s">
        <v>608</v>
      </c>
      <c r="D1414" s="354" t="s">
        <v>619</v>
      </c>
      <c r="E1414" s="642" t="s">
        <v>1824</v>
      </c>
      <c r="F1414" s="506"/>
      <c r="G1414" s="498">
        <f t="shared" si="448"/>
        <v>0</v>
      </c>
      <c r="H1414" s="498">
        <f t="shared" si="448"/>
        <v>0</v>
      </c>
      <c r="I1414" s="591">
        <f t="shared" si="448"/>
        <v>0</v>
      </c>
      <c r="J1414" s="591">
        <f t="shared" si="448"/>
        <v>0</v>
      </c>
      <c r="K1414" s="591">
        <f t="shared" si="442"/>
        <v>0</v>
      </c>
      <c r="L1414" s="591">
        <f t="shared" si="443"/>
        <v>0</v>
      </c>
      <c r="M1414" s="217">
        <f>I1414-G1414-K1414</f>
        <v>0</v>
      </c>
      <c r="N1414" s="318"/>
      <c r="R1414" s="591">
        <f t="shared" si="449"/>
        <v>0</v>
      </c>
      <c r="S1414" s="591">
        <f t="shared" si="449"/>
        <v>0</v>
      </c>
      <c r="T1414" s="319">
        <f>I1414-G1414</f>
        <v>0</v>
      </c>
      <c r="U1414" s="498">
        <f t="shared" si="450"/>
        <v>4500</v>
      </c>
      <c r="V1414" s="498">
        <f t="shared" si="450"/>
        <v>0</v>
      </c>
      <c r="W1414" s="310">
        <f>G1414-I1414</f>
        <v>0</v>
      </c>
      <c r="X1414" s="310">
        <f>K1414+W1414</f>
        <v>0</v>
      </c>
    </row>
    <row r="1415" spans="1:24" s="283" customFormat="1" ht="17.25" hidden="1" customHeight="1" x14ac:dyDescent="0.2">
      <c r="A1415" s="186" t="s">
        <v>126</v>
      </c>
      <c r="B1415" s="243" t="s">
        <v>98</v>
      </c>
      <c r="C1415" s="353" t="s">
        <v>608</v>
      </c>
      <c r="D1415" s="353" t="s">
        <v>619</v>
      </c>
      <c r="E1415" s="386" t="s">
        <v>1824</v>
      </c>
      <c r="F1415" s="369" t="s">
        <v>634</v>
      </c>
      <c r="G1415" s="288"/>
      <c r="H1415" s="288"/>
      <c r="I1415" s="288"/>
      <c r="J1415" s="288"/>
      <c r="K1415" s="43">
        <f t="shared" si="442"/>
        <v>0</v>
      </c>
      <c r="L1415" s="43">
        <f t="shared" si="443"/>
        <v>0</v>
      </c>
      <c r="M1415" s="217">
        <f>I1415-G1415-K1415</f>
        <v>0</v>
      </c>
      <c r="N1415" s="262"/>
      <c r="R1415" s="288"/>
      <c r="S1415" s="288"/>
      <c r="T1415" s="284">
        <f>I1415-G1415</f>
        <v>0</v>
      </c>
      <c r="U1415" s="288">
        <v>4500</v>
      </c>
      <c r="V1415" s="288">
        <v>0</v>
      </c>
      <c r="W1415" s="203">
        <f>G1415-I1415</f>
        <v>0</v>
      </c>
      <c r="X1415" s="203">
        <f>K1415+W1415</f>
        <v>0</v>
      </c>
    </row>
    <row r="1416" spans="1:24" s="508" customFormat="1" ht="24" customHeight="1" x14ac:dyDescent="0.2">
      <c r="A1416" s="746" t="s">
        <v>65</v>
      </c>
      <c r="B1416" s="306" t="s">
        <v>98</v>
      </c>
      <c r="C1416" s="354" t="s">
        <v>608</v>
      </c>
      <c r="D1416" s="354" t="s">
        <v>619</v>
      </c>
      <c r="E1416" s="495">
        <v>9990000000</v>
      </c>
      <c r="F1416" s="495"/>
      <c r="G1416" s="591">
        <f>G1417+G1419+G1421</f>
        <v>2005.7360000000001</v>
      </c>
      <c r="H1416" s="591">
        <f t="shared" ref="H1416:L1416" si="451">H1417+H1419+H1421</f>
        <v>0</v>
      </c>
      <c r="I1416" s="591">
        <f t="shared" si="451"/>
        <v>2515.7750000000001</v>
      </c>
      <c r="J1416" s="591">
        <f t="shared" si="451"/>
        <v>0</v>
      </c>
      <c r="K1416" s="591">
        <f t="shared" si="451"/>
        <v>510.03899999999999</v>
      </c>
      <c r="L1416" s="591">
        <f t="shared" si="451"/>
        <v>0</v>
      </c>
      <c r="M1416" s="309"/>
      <c r="N1416" s="507"/>
      <c r="R1416" s="591">
        <f>R1417</f>
        <v>1793.193</v>
      </c>
      <c r="S1416" s="591">
        <f>S1417</f>
        <v>0</v>
      </c>
      <c r="T1416" s="309"/>
      <c r="U1416" s="498">
        <f>U1417</f>
        <v>967.07479999999998</v>
      </c>
      <c r="V1416" s="498">
        <f>V1417</f>
        <v>0</v>
      </c>
      <c r="W1416" s="310"/>
      <c r="X1416" s="310"/>
    </row>
    <row r="1417" spans="1:24" s="508" customFormat="1" ht="15" x14ac:dyDescent="0.2">
      <c r="A1417" s="746" t="s">
        <v>1765</v>
      </c>
      <c r="B1417" s="306" t="s">
        <v>98</v>
      </c>
      <c r="C1417" s="509" t="s">
        <v>608</v>
      </c>
      <c r="D1417" s="354" t="s">
        <v>619</v>
      </c>
      <c r="E1417" s="495">
        <v>9990023610</v>
      </c>
      <c r="F1417" s="495"/>
      <c r="G1417" s="591">
        <f t="shared" ref="G1417:J1421" si="452">G1418</f>
        <v>1746.403</v>
      </c>
      <c r="H1417" s="591">
        <f t="shared" si="452"/>
        <v>0</v>
      </c>
      <c r="I1417" s="591">
        <f t="shared" si="452"/>
        <v>1746.403</v>
      </c>
      <c r="J1417" s="591">
        <f t="shared" si="452"/>
        <v>0</v>
      </c>
      <c r="K1417" s="591">
        <f t="shared" si="442"/>
        <v>0</v>
      </c>
      <c r="L1417" s="591">
        <f t="shared" si="443"/>
        <v>0</v>
      </c>
      <c r="M1417" s="309"/>
      <c r="N1417" s="507"/>
      <c r="R1417" s="591">
        <f>R1418</f>
        <v>1793.193</v>
      </c>
      <c r="S1417" s="591">
        <f>S1418</f>
        <v>0</v>
      </c>
      <c r="T1417" s="309"/>
      <c r="U1417" s="498">
        <f>U1418</f>
        <v>967.07479999999998</v>
      </c>
      <c r="V1417" s="498">
        <f>V1418</f>
        <v>0</v>
      </c>
      <c r="W1417" s="310"/>
      <c r="X1417" s="310"/>
    </row>
    <row r="1418" spans="1:24" s="164" customFormat="1" ht="25.5" x14ac:dyDescent="0.2">
      <c r="A1418" s="744" t="s">
        <v>646</v>
      </c>
      <c r="B1418" s="243" t="s">
        <v>98</v>
      </c>
      <c r="C1418" s="490" t="s">
        <v>608</v>
      </c>
      <c r="D1418" s="510">
        <v>12</v>
      </c>
      <c r="E1418" s="369">
        <v>9990023610</v>
      </c>
      <c r="F1418" s="369">
        <v>621</v>
      </c>
      <c r="G1418" s="288">
        <v>1746.403</v>
      </c>
      <c r="H1418" s="288"/>
      <c r="I1418" s="288">
        <v>1746.403</v>
      </c>
      <c r="J1418" s="288"/>
      <c r="K1418" s="43">
        <f t="shared" si="442"/>
        <v>0</v>
      </c>
      <c r="L1418" s="43">
        <f t="shared" si="443"/>
        <v>0</v>
      </c>
      <c r="M1418" s="217"/>
      <c r="N1418" s="145"/>
      <c r="R1418" s="288">
        <v>1793.193</v>
      </c>
      <c r="S1418" s="288"/>
      <c r="T1418" s="217"/>
      <c r="U1418" s="288">
        <v>967.07479999999998</v>
      </c>
      <c r="V1418" s="288">
        <v>0</v>
      </c>
      <c r="W1418" s="203"/>
      <c r="X1418" s="203"/>
    </row>
    <row r="1419" spans="1:24" s="164" customFormat="1" ht="15" x14ac:dyDescent="0.2">
      <c r="A1419" s="746" t="s">
        <v>1946</v>
      </c>
      <c r="B1419" s="306" t="s">
        <v>98</v>
      </c>
      <c r="C1419" s="690" t="s">
        <v>608</v>
      </c>
      <c r="D1419" s="354" t="s">
        <v>619</v>
      </c>
      <c r="E1419" s="697" t="s">
        <v>1268</v>
      </c>
      <c r="F1419" s="691"/>
      <c r="G1419" s="591">
        <f t="shared" si="452"/>
        <v>259.33300000000003</v>
      </c>
      <c r="H1419" s="591">
        <f t="shared" si="452"/>
        <v>0</v>
      </c>
      <c r="I1419" s="591">
        <f t="shared" si="452"/>
        <v>259.33300000000003</v>
      </c>
      <c r="J1419" s="591">
        <f t="shared" si="452"/>
        <v>0</v>
      </c>
      <c r="K1419" s="591">
        <f t="shared" ref="K1419:L1422" si="453">I1419-G1419</f>
        <v>0</v>
      </c>
      <c r="L1419" s="591">
        <f t="shared" si="453"/>
        <v>0</v>
      </c>
      <c r="M1419" s="217"/>
      <c r="N1419" s="145"/>
      <c r="R1419" s="288"/>
      <c r="S1419" s="288"/>
      <c r="T1419" s="217"/>
      <c r="U1419" s="288"/>
      <c r="V1419" s="288"/>
      <c r="W1419" s="203"/>
      <c r="X1419" s="203"/>
    </row>
    <row r="1420" spans="1:24" s="164" customFormat="1" ht="25.5" x14ac:dyDescent="0.2">
      <c r="A1420" s="744" t="s">
        <v>646</v>
      </c>
      <c r="B1420" s="243" t="s">
        <v>98</v>
      </c>
      <c r="C1420" s="490" t="s">
        <v>608</v>
      </c>
      <c r="D1420" s="510">
        <v>12</v>
      </c>
      <c r="E1420" s="386" t="s">
        <v>1268</v>
      </c>
      <c r="F1420" s="369">
        <v>621</v>
      </c>
      <c r="G1420" s="288">
        <v>259.33300000000003</v>
      </c>
      <c r="H1420" s="288"/>
      <c r="I1420" s="288">
        <v>259.33300000000003</v>
      </c>
      <c r="J1420" s="288"/>
      <c r="K1420" s="43">
        <f t="shared" si="453"/>
        <v>0</v>
      </c>
      <c r="L1420" s="43">
        <f t="shared" si="453"/>
        <v>0</v>
      </c>
      <c r="M1420" s="217"/>
      <c r="N1420" s="145"/>
      <c r="R1420" s="288"/>
      <c r="S1420" s="288"/>
      <c r="T1420" s="217"/>
      <c r="U1420" s="288"/>
      <c r="V1420" s="288"/>
      <c r="W1420" s="203"/>
      <c r="X1420" s="203"/>
    </row>
    <row r="1421" spans="1:24" s="164" customFormat="1" ht="25.5" x14ac:dyDescent="0.2">
      <c r="A1421" s="746" t="s">
        <v>2004</v>
      </c>
      <c r="B1421" s="306" t="s">
        <v>98</v>
      </c>
      <c r="C1421" s="690" t="s">
        <v>608</v>
      </c>
      <c r="D1421" s="354" t="s">
        <v>619</v>
      </c>
      <c r="E1421" s="719" t="s">
        <v>2003</v>
      </c>
      <c r="F1421" s="697"/>
      <c r="G1421" s="591">
        <f t="shared" si="452"/>
        <v>0</v>
      </c>
      <c r="H1421" s="591">
        <f t="shared" si="452"/>
        <v>0</v>
      </c>
      <c r="I1421" s="591">
        <f t="shared" si="452"/>
        <v>510.03899999999999</v>
      </c>
      <c r="J1421" s="591">
        <f t="shared" si="452"/>
        <v>0</v>
      </c>
      <c r="K1421" s="591">
        <f t="shared" si="453"/>
        <v>510.03899999999999</v>
      </c>
      <c r="L1421" s="591">
        <f t="shared" si="453"/>
        <v>0</v>
      </c>
      <c r="M1421" s="217"/>
      <c r="N1421" s="145"/>
      <c r="R1421" s="288"/>
      <c r="S1421" s="288"/>
      <c r="T1421" s="217"/>
      <c r="U1421" s="288"/>
      <c r="V1421" s="288"/>
      <c r="W1421" s="203"/>
      <c r="X1421" s="203"/>
    </row>
    <row r="1422" spans="1:24" s="164" customFormat="1" ht="25.5" x14ac:dyDescent="0.2">
      <c r="A1422" s="744" t="s">
        <v>646</v>
      </c>
      <c r="B1422" s="243" t="s">
        <v>98</v>
      </c>
      <c r="C1422" s="490" t="s">
        <v>608</v>
      </c>
      <c r="D1422" s="510">
        <v>12</v>
      </c>
      <c r="E1422" s="386" t="s">
        <v>2003</v>
      </c>
      <c r="F1422" s="369">
        <v>621</v>
      </c>
      <c r="G1422" s="288"/>
      <c r="H1422" s="288"/>
      <c r="I1422" s="288">
        <v>510.03899999999999</v>
      </c>
      <c r="J1422" s="288"/>
      <c r="K1422" s="43">
        <f t="shared" si="453"/>
        <v>510.03899999999999</v>
      </c>
      <c r="L1422" s="43">
        <f t="shared" si="453"/>
        <v>0</v>
      </c>
      <c r="M1422" s="217"/>
      <c r="N1422" s="145"/>
      <c r="R1422" s="288"/>
      <c r="S1422" s="288"/>
      <c r="T1422" s="217"/>
      <c r="U1422" s="288"/>
      <c r="V1422" s="288"/>
      <c r="W1422" s="203"/>
      <c r="X1422" s="203"/>
    </row>
    <row r="1423" spans="1:24" s="164" customFormat="1" ht="16.5" customHeight="1" x14ac:dyDescent="0.2">
      <c r="A1423" s="741" t="s">
        <v>255</v>
      </c>
      <c r="B1423" s="306" t="s">
        <v>98</v>
      </c>
      <c r="C1423" s="354" t="s">
        <v>609</v>
      </c>
      <c r="D1423" s="389"/>
      <c r="E1423" s="390"/>
      <c r="F1423" s="390"/>
      <c r="G1423" s="391">
        <f>G1424+G1432+G1463</f>
        <v>159818.44558</v>
      </c>
      <c r="H1423" s="391">
        <f>H1424+H1432+H1463</f>
        <v>108743.69587</v>
      </c>
      <c r="I1423" s="391">
        <f>I1424+I1432+I1463</f>
        <v>164889.32743</v>
      </c>
      <c r="J1423" s="391">
        <f>J1424+J1432+J1463</f>
        <v>108743.69587</v>
      </c>
      <c r="K1423" s="391">
        <f t="shared" si="442"/>
        <v>5070.8818500000052</v>
      </c>
      <c r="L1423" s="391">
        <f t="shared" si="443"/>
        <v>0</v>
      </c>
      <c r="M1423" s="217">
        <f t="shared" ref="M1423:M1432" si="454">I1423-G1423-K1423</f>
        <v>0</v>
      </c>
      <c r="N1423" s="145"/>
      <c r="R1423" s="391">
        <f>R1424+R1432+R1463</f>
        <v>130470.11136</v>
      </c>
      <c r="S1423" s="391">
        <f>S1424+S1432+S1463</f>
        <v>39304.3128</v>
      </c>
      <c r="T1423" s="217"/>
      <c r="U1423" s="391">
        <f>U1424+U1432+U1463</f>
        <v>99225.760779999997</v>
      </c>
      <c r="V1423" s="391">
        <f>V1424+V1432+V1463</f>
        <v>5526.9674500000001</v>
      </c>
      <c r="W1423" s="203"/>
      <c r="X1423" s="203"/>
    </row>
    <row r="1424" spans="1:24" ht="13.5" customHeight="1" x14ac:dyDescent="0.2">
      <c r="A1424" s="746" t="s">
        <v>1881</v>
      </c>
      <c r="B1424" s="306" t="s">
        <v>98</v>
      </c>
      <c r="C1424" s="354" t="s">
        <v>609</v>
      </c>
      <c r="D1424" s="354" t="s">
        <v>605</v>
      </c>
      <c r="E1424" s="450"/>
      <c r="F1424" s="450"/>
      <c r="G1424" s="591">
        <f t="shared" ref="G1424:J1430" si="455">G1425</f>
        <v>53034.696000000004</v>
      </c>
      <c r="H1424" s="591">
        <f t="shared" si="455"/>
        <v>49306.6</v>
      </c>
      <c r="I1424" s="591">
        <f t="shared" si="455"/>
        <v>53034.696000000004</v>
      </c>
      <c r="J1424" s="591">
        <f t="shared" si="455"/>
        <v>49306.6</v>
      </c>
      <c r="K1424" s="591">
        <f t="shared" si="442"/>
        <v>0</v>
      </c>
      <c r="L1424" s="591">
        <f t="shared" si="443"/>
        <v>0</v>
      </c>
      <c r="M1424" s="217">
        <f t="shared" si="454"/>
        <v>0</v>
      </c>
      <c r="N1424" s="42" t="e">
        <f>N1425</f>
        <v>#REF!</v>
      </c>
      <c r="R1424" s="591">
        <f>R1425</f>
        <v>0</v>
      </c>
      <c r="S1424" s="591">
        <f>S1425</f>
        <v>0</v>
      </c>
      <c r="T1424" s="217">
        <f t="shared" ref="T1424:T1432" si="456">I1424-G1424</f>
        <v>0</v>
      </c>
      <c r="U1424" s="498">
        <f>U1425</f>
        <v>0</v>
      </c>
      <c r="V1424" s="498">
        <f>V1425</f>
        <v>0</v>
      </c>
      <c r="W1424" s="203">
        <f t="shared" ref="W1424:W1432" si="457">G1424-I1424</f>
        <v>0</v>
      </c>
      <c r="X1424" s="203">
        <f t="shared" ref="X1424:X1432" si="458">K1424+W1424</f>
        <v>0</v>
      </c>
    </row>
    <row r="1425" spans="1:24" ht="12" customHeight="1" x14ac:dyDescent="0.2">
      <c r="A1425" s="746" t="s">
        <v>1205</v>
      </c>
      <c r="B1425" s="306" t="s">
        <v>98</v>
      </c>
      <c r="C1425" s="354" t="s">
        <v>609</v>
      </c>
      <c r="D1425" s="354" t="s">
        <v>605</v>
      </c>
      <c r="E1425" s="660">
        <v>8900000000</v>
      </c>
      <c r="F1425" s="660"/>
      <c r="G1425" s="591">
        <f t="shared" ref="G1425:L1425" si="459">G1429+G1426</f>
        <v>53034.696000000004</v>
      </c>
      <c r="H1425" s="591">
        <f t="shared" si="459"/>
        <v>49306.6</v>
      </c>
      <c r="I1425" s="591">
        <f t="shared" si="459"/>
        <v>53034.696000000004</v>
      </c>
      <c r="J1425" s="591">
        <f t="shared" si="459"/>
        <v>49306.6</v>
      </c>
      <c r="K1425" s="591">
        <f t="shared" si="459"/>
        <v>0</v>
      </c>
      <c r="L1425" s="591">
        <f t="shared" si="459"/>
        <v>0</v>
      </c>
      <c r="M1425" s="217">
        <f t="shared" si="454"/>
        <v>0</v>
      </c>
      <c r="N1425" s="42" t="e">
        <f>#REF!+#REF!+#REF!</f>
        <v>#REF!</v>
      </c>
      <c r="R1425" s="591">
        <f>R1429</f>
        <v>0</v>
      </c>
      <c r="S1425" s="591">
        <f>S1429</f>
        <v>0</v>
      </c>
      <c r="T1425" s="217">
        <f t="shared" si="456"/>
        <v>0</v>
      </c>
      <c r="U1425" s="498">
        <f>U1429</f>
        <v>0</v>
      </c>
      <c r="V1425" s="498">
        <f>V1429</f>
        <v>0</v>
      </c>
      <c r="W1425" s="203">
        <f t="shared" si="457"/>
        <v>0</v>
      </c>
      <c r="X1425" s="203">
        <f t="shared" si="458"/>
        <v>0</v>
      </c>
    </row>
    <row r="1426" spans="1:24" ht="12" customHeight="1" x14ac:dyDescent="0.2">
      <c r="A1426" s="746" t="s">
        <v>1284</v>
      </c>
      <c r="B1426" s="306" t="s">
        <v>98</v>
      </c>
      <c r="C1426" s="354" t="s">
        <v>609</v>
      </c>
      <c r="D1426" s="354" t="s">
        <v>605</v>
      </c>
      <c r="E1426" s="691">
        <v>8900500000</v>
      </c>
      <c r="F1426" s="691"/>
      <c r="G1426" s="591">
        <f t="shared" si="455"/>
        <v>53034.696000000004</v>
      </c>
      <c r="H1426" s="591">
        <f t="shared" si="455"/>
        <v>49306.6</v>
      </c>
      <c r="I1426" s="591">
        <f t="shared" si="455"/>
        <v>53034.696000000004</v>
      </c>
      <c r="J1426" s="591">
        <f t="shared" si="455"/>
        <v>49306.6</v>
      </c>
      <c r="K1426" s="591">
        <f t="shared" ref="K1426:L1428" si="460">I1426-G1426</f>
        <v>0</v>
      </c>
      <c r="L1426" s="591">
        <f t="shared" si="460"/>
        <v>0</v>
      </c>
      <c r="M1426" s="217"/>
      <c r="N1426" s="42"/>
      <c r="R1426" s="591"/>
      <c r="S1426" s="591"/>
      <c r="T1426" s="217"/>
      <c r="U1426" s="591"/>
      <c r="V1426" s="591"/>
      <c r="W1426" s="203"/>
      <c r="X1426" s="203"/>
    </row>
    <row r="1427" spans="1:24" ht="12" customHeight="1" x14ac:dyDescent="0.2">
      <c r="A1427" s="746" t="s">
        <v>1285</v>
      </c>
      <c r="B1427" s="306" t="s">
        <v>98</v>
      </c>
      <c r="C1427" s="354" t="s">
        <v>609</v>
      </c>
      <c r="D1427" s="354" t="s">
        <v>605</v>
      </c>
      <c r="E1427" s="697" t="s">
        <v>1286</v>
      </c>
      <c r="F1427" s="691"/>
      <c r="G1427" s="391">
        <f t="shared" si="455"/>
        <v>53034.696000000004</v>
      </c>
      <c r="H1427" s="391">
        <f t="shared" si="455"/>
        <v>49306.6</v>
      </c>
      <c r="I1427" s="391">
        <f t="shared" si="455"/>
        <v>53034.696000000004</v>
      </c>
      <c r="J1427" s="391">
        <f t="shared" si="455"/>
        <v>49306.6</v>
      </c>
      <c r="K1427" s="43">
        <f t="shared" si="460"/>
        <v>0</v>
      </c>
      <c r="L1427" s="43">
        <f t="shared" si="460"/>
        <v>0</v>
      </c>
      <c r="M1427" s="217"/>
      <c r="N1427" s="42"/>
      <c r="R1427" s="591"/>
      <c r="S1427" s="591"/>
      <c r="T1427" s="217"/>
      <c r="U1427" s="591"/>
      <c r="V1427" s="591"/>
      <c r="W1427" s="203"/>
      <c r="X1427" s="203"/>
    </row>
    <row r="1428" spans="1:24" ht="12" customHeight="1" x14ac:dyDescent="0.2">
      <c r="A1428" s="744" t="s">
        <v>1914</v>
      </c>
      <c r="B1428" s="243" t="s">
        <v>98</v>
      </c>
      <c r="C1428" s="353" t="s">
        <v>609</v>
      </c>
      <c r="D1428" s="353" t="s">
        <v>605</v>
      </c>
      <c r="E1428" s="386" t="s">
        <v>1286</v>
      </c>
      <c r="F1428" s="369">
        <v>462</v>
      </c>
      <c r="G1428" s="288">
        <v>53034.696000000004</v>
      </c>
      <c r="H1428" s="288">
        <v>49306.6</v>
      </c>
      <c r="I1428" s="288">
        <v>53034.696000000004</v>
      </c>
      <c r="J1428" s="288">
        <v>49306.6</v>
      </c>
      <c r="K1428" s="43">
        <f t="shared" si="460"/>
        <v>0</v>
      </c>
      <c r="L1428" s="43">
        <f t="shared" si="460"/>
        <v>0</v>
      </c>
      <c r="M1428" s="217"/>
      <c r="N1428" s="42"/>
      <c r="R1428" s="591"/>
      <c r="S1428" s="591"/>
      <c r="T1428" s="217"/>
      <c r="U1428" s="591"/>
      <c r="V1428" s="591"/>
      <c r="W1428" s="203"/>
      <c r="X1428" s="203"/>
    </row>
    <row r="1429" spans="1:24" ht="12.75" hidden="1" customHeight="1" x14ac:dyDescent="0.2">
      <c r="A1429" s="661" t="s">
        <v>1719</v>
      </c>
      <c r="B1429" s="306" t="s">
        <v>98</v>
      </c>
      <c r="C1429" s="354" t="s">
        <v>609</v>
      </c>
      <c r="D1429" s="354" t="s">
        <v>605</v>
      </c>
      <c r="E1429" s="660">
        <v>8900600000</v>
      </c>
      <c r="F1429" s="660"/>
      <c r="G1429" s="498">
        <f t="shared" si="455"/>
        <v>0</v>
      </c>
      <c r="H1429" s="591">
        <f t="shared" si="455"/>
        <v>0</v>
      </c>
      <c r="I1429" s="591">
        <f t="shared" si="455"/>
        <v>0</v>
      </c>
      <c r="J1429" s="591">
        <f t="shared" si="455"/>
        <v>0</v>
      </c>
      <c r="K1429" s="591">
        <f t="shared" si="442"/>
        <v>0</v>
      </c>
      <c r="L1429" s="591">
        <f t="shared" si="443"/>
        <v>0</v>
      </c>
      <c r="M1429" s="217">
        <f t="shared" si="454"/>
        <v>0</v>
      </c>
      <c r="N1429" s="42">
        <f>N1430</f>
        <v>0</v>
      </c>
      <c r="R1429" s="591">
        <f>R1430</f>
        <v>0</v>
      </c>
      <c r="S1429" s="591">
        <f>S1430</f>
        <v>0</v>
      </c>
      <c r="T1429" s="217">
        <f t="shared" si="456"/>
        <v>0</v>
      </c>
      <c r="U1429" s="498">
        <f>U1430</f>
        <v>0</v>
      </c>
      <c r="V1429" s="498">
        <f>V1430</f>
        <v>0</v>
      </c>
      <c r="W1429" s="203">
        <f t="shared" si="457"/>
        <v>0</v>
      </c>
      <c r="X1429" s="203">
        <f t="shared" si="458"/>
        <v>0</v>
      </c>
    </row>
    <row r="1430" spans="1:24" ht="11.25" hidden="1" customHeight="1" x14ac:dyDescent="0.2">
      <c r="A1430" s="661" t="s">
        <v>1718</v>
      </c>
      <c r="B1430" s="306" t="s">
        <v>98</v>
      </c>
      <c r="C1430" s="354" t="s">
        <v>609</v>
      </c>
      <c r="D1430" s="354" t="s">
        <v>605</v>
      </c>
      <c r="E1430" s="660" t="s">
        <v>1450</v>
      </c>
      <c r="F1430" s="660"/>
      <c r="G1430" s="391">
        <f t="shared" si="455"/>
        <v>0</v>
      </c>
      <c r="H1430" s="391">
        <f t="shared" si="455"/>
        <v>0</v>
      </c>
      <c r="I1430" s="391">
        <f t="shared" si="455"/>
        <v>0</v>
      </c>
      <c r="J1430" s="391">
        <f t="shared" si="455"/>
        <v>0</v>
      </c>
      <c r="K1430" s="43">
        <f t="shared" si="442"/>
        <v>0</v>
      </c>
      <c r="L1430" s="43">
        <f t="shared" si="443"/>
        <v>0</v>
      </c>
      <c r="M1430" s="217">
        <f t="shared" si="454"/>
        <v>0</v>
      </c>
      <c r="N1430" s="43"/>
      <c r="R1430" s="288"/>
      <c r="S1430" s="288"/>
      <c r="T1430" s="217">
        <f t="shared" si="456"/>
        <v>0</v>
      </c>
      <c r="U1430" s="288"/>
      <c r="V1430" s="288"/>
      <c r="W1430" s="203">
        <f t="shared" si="457"/>
        <v>0</v>
      </c>
      <c r="X1430" s="203">
        <f t="shared" si="458"/>
        <v>0</v>
      </c>
    </row>
    <row r="1431" spans="1:24" ht="20.25" hidden="1" customHeight="1" x14ac:dyDescent="0.2">
      <c r="A1431" s="186" t="s">
        <v>1882</v>
      </c>
      <c r="B1431" s="243" t="s">
        <v>98</v>
      </c>
      <c r="C1431" s="353" t="s">
        <v>609</v>
      </c>
      <c r="D1431" s="353" t="s">
        <v>605</v>
      </c>
      <c r="E1431" s="386" t="s">
        <v>1450</v>
      </c>
      <c r="F1431" s="369">
        <v>414</v>
      </c>
      <c r="G1431" s="288"/>
      <c r="H1431" s="288"/>
      <c r="I1431" s="288"/>
      <c r="J1431" s="288"/>
      <c r="K1431" s="43">
        <f t="shared" si="442"/>
        <v>0</v>
      </c>
      <c r="L1431" s="43">
        <f t="shared" si="443"/>
        <v>0</v>
      </c>
      <c r="M1431" s="217">
        <f t="shared" si="454"/>
        <v>0</v>
      </c>
      <c r="N1431" s="43"/>
      <c r="R1431" s="288"/>
      <c r="S1431" s="288"/>
      <c r="T1431" s="217">
        <f t="shared" si="456"/>
        <v>0</v>
      </c>
      <c r="U1431" s="288"/>
      <c r="V1431" s="288"/>
      <c r="W1431" s="203">
        <f t="shared" si="457"/>
        <v>0</v>
      </c>
      <c r="X1431" s="203">
        <f t="shared" si="458"/>
        <v>0</v>
      </c>
    </row>
    <row r="1432" spans="1:24" ht="15" x14ac:dyDescent="0.2">
      <c r="A1432" s="746" t="s">
        <v>256</v>
      </c>
      <c r="B1432" s="306" t="s">
        <v>98</v>
      </c>
      <c r="C1432" s="354" t="s">
        <v>609</v>
      </c>
      <c r="D1432" s="354" t="s">
        <v>614</v>
      </c>
      <c r="E1432" s="450"/>
      <c r="F1432" s="450"/>
      <c r="G1432" s="591">
        <f>G1450+G1433+G1446</f>
        <v>46639.369720000002</v>
      </c>
      <c r="H1432" s="591">
        <f>H1450+H1433+H1446</f>
        <v>0</v>
      </c>
      <c r="I1432" s="591">
        <f>I1450+I1433+I1446</f>
        <v>51710.25157</v>
      </c>
      <c r="J1432" s="591">
        <f>J1450+J1433+J1446</f>
        <v>0</v>
      </c>
      <c r="K1432" s="591">
        <f t="shared" si="442"/>
        <v>5070.8818499999979</v>
      </c>
      <c r="L1432" s="591">
        <f t="shared" si="443"/>
        <v>0</v>
      </c>
      <c r="M1432" s="217">
        <f t="shared" si="454"/>
        <v>0</v>
      </c>
      <c r="N1432" s="127">
        <f>N1450</f>
        <v>985.45600000000002</v>
      </c>
      <c r="R1432" s="591">
        <f>R1450+R1433</f>
        <v>90660.609909999999</v>
      </c>
      <c r="S1432" s="591">
        <f>S1450+S1433</f>
        <v>0</v>
      </c>
      <c r="T1432" s="217">
        <f t="shared" si="456"/>
        <v>5070.8818499999979</v>
      </c>
      <c r="U1432" s="498">
        <f>U1450</f>
        <v>93529.030780000001</v>
      </c>
      <c r="V1432" s="498">
        <f>V1450</f>
        <v>0</v>
      </c>
      <c r="W1432" s="203">
        <f t="shared" si="457"/>
        <v>-5070.8818499999979</v>
      </c>
      <c r="X1432" s="203">
        <f t="shared" si="458"/>
        <v>0</v>
      </c>
    </row>
    <row r="1433" spans="1:24" ht="38.25" customHeight="1" x14ac:dyDescent="0.2">
      <c r="A1433" s="746" t="s">
        <v>1766</v>
      </c>
      <c r="B1433" s="306" t="s">
        <v>98</v>
      </c>
      <c r="C1433" s="354" t="s">
        <v>609</v>
      </c>
      <c r="D1433" s="354" t="s">
        <v>614</v>
      </c>
      <c r="E1433" s="599" t="s">
        <v>1547</v>
      </c>
      <c r="F1433" s="582"/>
      <c r="G1433" s="591">
        <f>G1434+G1437+G1440+G1443</f>
        <v>46639.369720000002</v>
      </c>
      <c r="H1433" s="591">
        <f>H1434+H1437+H1440+H1443</f>
        <v>0</v>
      </c>
      <c r="I1433" s="591">
        <f>I1434+I1437+I1440+I1443</f>
        <v>51203.003570000001</v>
      </c>
      <c r="J1433" s="591">
        <f>J1434+J1437+J1440+J1443</f>
        <v>0</v>
      </c>
      <c r="K1433" s="591">
        <f t="shared" si="442"/>
        <v>4563.6338499999983</v>
      </c>
      <c r="L1433" s="591">
        <f t="shared" si="443"/>
        <v>0</v>
      </c>
      <c r="M1433" s="217"/>
      <c r="N1433" s="127"/>
      <c r="R1433" s="591">
        <f>R1434+R1437+R1440</f>
        <v>90660.609909999999</v>
      </c>
      <c r="S1433" s="591">
        <f>S1434+S1437+S1440</f>
        <v>0</v>
      </c>
      <c r="T1433" s="217"/>
      <c r="U1433" s="591"/>
      <c r="V1433" s="591"/>
      <c r="W1433" s="203"/>
      <c r="X1433" s="203"/>
    </row>
    <row r="1434" spans="1:24" ht="30" customHeight="1" x14ac:dyDescent="0.2">
      <c r="A1434" s="746" t="s">
        <v>1773</v>
      </c>
      <c r="B1434" s="306" t="s">
        <v>98</v>
      </c>
      <c r="C1434" s="354" t="s">
        <v>609</v>
      </c>
      <c r="D1434" s="354" t="s">
        <v>614</v>
      </c>
      <c r="E1434" s="599" t="s">
        <v>1548</v>
      </c>
      <c r="F1434" s="582"/>
      <c r="G1434" s="591">
        <f t="shared" ref="G1434:J1435" si="461">G1435</f>
        <v>1020.40816</v>
      </c>
      <c r="H1434" s="591">
        <f t="shared" si="461"/>
        <v>0</v>
      </c>
      <c r="I1434" s="591">
        <f t="shared" si="461"/>
        <v>974.48884999999996</v>
      </c>
      <c r="J1434" s="591">
        <f t="shared" si="461"/>
        <v>0</v>
      </c>
      <c r="K1434" s="591">
        <f t="shared" si="442"/>
        <v>-45.919309999999996</v>
      </c>
      <c r="L1434" s="591">
        <f t="shared" si="443"/>
        <v>0</v>
      </c>
      <c r="M1434" s="217"/>
      <c r="N1434" s="127"/>
      <c r="R1434" s="591">
        <f>R1435</f>
        <v>474.16043000000002</v>
      </c>
      <c r="S1434" s="591">
        <f>S1435</f>
        <v>0</v>
      </c>
      <c r="T1434" s="217"/>
      <c r="U1434" s="591"/>
      <c r="V1434" s="591"/>
      <c r="W1434" s="203"/>
      <c r="X1434" s="203"/>
    </row>
    <row r="1435" spans="1:24" ht="38.25" customHeight="1" x14ac:dyDescent="0.2">
      <c r="A1435" s="746" t="s">
        <v>781</v>
      </c>
      <c r="B1435" s="306" t="s">
        <v>98</v>
      </c>
      <c r="C1435" s="354" t="s">
        <v>609</v>
      </c>
      <c r="D1435" s="354" t="s">
        <v>614</v>
      </c>
      <c r="E1435" s="599" t="s">
        <v>1549</v>
      </c>
      <c r="F1435" s="582"/>
      <c r="G1435" s="591">
        <f t="shared" si="461"/>
        <v>1020.40816</v>
      </c>
      <c r="H1435" s="591">
        <f t="shared" si="461"/>
        <v>0</v>
      </c>
      <c r="I1435" s="591">
        <f t="shared" si="461"/>
        <v>974.48884999999996</v>
      </c>
      <c r="J1435" s="591">
        <f t="shared" si="461"/>
        <v>0</v>
      </c>
      <c r="K1435" s="591">
        <f t="shared" si="442"/>
        <v>-45.919309999999996</v>
      </c>
      <c r="L1435" s="591">
        <f t="shared" si="443"/>
        <v>0</v>
      </c>
      <c r="M1435" s="217"/>
      <c r="N1435" s="127"/>
      <c r="R1435" s="591">
        <f>R1436</f>
        <v>474.16043000000002</v>
      </c>
      <c r="S1435" s="591">
        <f>S1436</f>
        <v>0</v>
      </c>
      <c r="T1435" s="217"/>
      <c r="U1435" s="591"/>
      <c r="V1435" s="591"/>
      <c r="W1435" s="203"/>
      <c r="X1435" s="203"/>
    </row>
    <row r="1436" spans="1:24" ht="15.75" customHeight="1" x14ac:dyDescent="0.2">
      <c r="A1436" s="751" t="s">
        <v>164</v>
      </c>
      <c r="B1436" s="516" t="s">
        <v>98</v>
      </c>
      <c r="C1436" s="517" t="s">
        <v>609</v>
      </c>
      <c r="D1436" s="517" t="s">
        <v>614</v>
      </c>
      <c r="E1436" s="523" t="s">
        <v>1549</v>
      </c>
      <c r="F1436" s="523">
        <v>540</v>
      </c>
      <c r="G1436" s="519">
        <v>1020.40816</v>
      </c>
      <c r="H1436" s="519"/>
      <c r="I1436" s="519">
        <v>974.48884999999996</v>
      </c>
      <c r="J1436" s="519"/>
      <c r="K1436" s="519">
        <f t="shared" si="442"/>
        <v>-45.919309999999996</v>
      </c>
      <c r="L1436" s="519">
        <f t="shared" si="443"/>
        <v>0</v>
      </c>
      <c r="M1436" s="217"/>
      <c r="N1436" s="127"/>
      <c r="R1436" s="519">
        <v>474.16043000000002</v>
      </c>
      <c r="S1436" s="519"/>
      <c r="T1436" s="217"/>
      <c r="U1436" s="591"/>
      <c r="V1436" s="591"/>
      <c r="W1436" s="203"/>
      <c r="X1436" s="203"/>
    </row>
    <row r="1437" spans="1:24" ht="9.75" hidden="1" customHeight="1" x14ac:dyDescent="0.2">
      <c r="A1437" s="581" t="s">
        <v>1585</v>
      </c>
      <c r="B1437" s="306" t="s">
        <v>98</v>
      </c>
      <c r="C1437" s="354" t="s">
        <v>609</v>
      </c>
      <c r="D1437" s="354" t="s">
        <v>614</v>
      </c>
      <c r="E1437" s="599" t="s">
        <v>1560</v>
      </c>
      <c r="F1437" s="582"/>
      <c r="G1437" s="591">
        <f t="shared" ref="G1437:J1438" si="462">G1438</f>
        <v>0</v>
      </c>
      <c r="H1437" s="591">
        <f t="shared" si="462"/>
        <v>0</v>
      </c>
      <c r="I1437" s="591">
        <f t="shared" si="462"/>
        <v>0</v>
      </c>
      <c r="J1437" s="591">
        <f t="shared" si="462"/>
        <v>0</v>
      </c>
      <c r="K1437" s="591">
        <f t="shared" si="442"/>
        <v>0</v>
      </c>
      <c r="L1437" s="591">
        <f t="shared" si="443"/>
        <v>0</v>
      </c>
      <c r="M1437" s="217"/>
      <c r="N1437" s="127"/>
      <c r="R1437" s="591">
        <f>R1438</f>
        <v>31747.79</v>
      </c>
      <c r="S1437" s="591">
        <f>S1438</f>
        <v>0</v>
      </c>
      <c r="T1437" s="217"/>
      <c r="U1437" s="591"/>
      <c r="V1437" s="591"/>
      <c r="W1437" s="203"/>
      <c r="X1437" s="203"/>
    </row>
    <row r="1438" spans="1:24" ht="13.5" hidden="1" customHeight="1" x14ac:dyDescent="0.2">
      <c r="A1438" s="581" t="s">
        <v>1586</v>
      </c>
      <c r="B1438" s="306" t="s">
        <v>98</v>
      </c>
      <c r="C1438" s="354" t="s">
        <v>609</v>
      </c>
      <c r="D1438" s="354" t="s">
        <v>614</v>
      </c>
      <c r="E1438" s="599" t="s">
        <v>1561</v>
      </c>
      <c r="F1438" s="582"/>
      <c r="G1438" s="591">
        <f t="shared" si="462"/>
        <v>0</v>
      </c>
      <c r="H1438" s="591">
        <f t="shared" si="462"/>
        <v>0</v>
      </c>
      <c r="I1438" s="591">
        <f t="shared" si="462"/>
        <v>0</v>
      </c>
      <c r="J1438" s="591">
        <f t="shared" si="462"/>
        <v>0</v>
      </c>
      <c r="K1438" s="591">
        <f t="shared" si="442"/>
        <v>0</v>
      </c>
      <c r="L1438" s="591">
        <f t="shared" si="443"/>
        <v>0</v>
      </c>
      <c r="M1438" s="217"/>
      <c r="N1438" s="127"/>
      <c r="R1438" s="591">
        <f>R1439</f>
        <v>31747.79</v>
      </c>
      <c r="S1438" s="591">
        <f>S1439</f>
        <v>0</v>
      </c>
      <c r="T1438" s="217"/>
      <c r="U1438" s="591"/>
      <c r="V1438" s="591"/>
      <c r="W1438" s="203"/>
      <c r="X1438" s="203"/>
    </row>
    <row r="1439" spans="1:24" ht="21.75" hidden="1" customHeight="1" x14ac:dyDescent="0.2">
      <c r="A1439" s="525" t="s">
        <v>1584</v>
      </c>
      <c r="B1439" s="516" t="s">
        <v>98</v>
      </c>
      <c r="C1439" s="517" t="s">
        <v>609</v>
      </c>
      <c r="D1439" s="517" t="s">
        <v>614</v>
      </c>
      <c r="E1439" s="523" t="s">
        <v>1561</v>
      </c>
      <c r="F1439" s="523">
        <v>540</v>
      </c>
      <c r="G1439" s="519"/>
      <c r="H1439" s="519"/>
      <c r="I1439" s="519"/>
      <c r="J1439" s="519"/>
      <c r="K1439" s="519">
        <f t="shared" si="442"/>
        <v>0</v>
      </c>
      <c r="L1439" s="519">
        <f t="shared" si="443"/>
        <v>0</v>
      </c>
      <c r="M1439" s="217"/>
      <c r="N1439" s="127"/>
      <c r="R1439" s="519">
        <v>31747.79</v>
      </c>
      <c r="S1439" s="519"/>
      <c r="T1439" s="217"/>
      <c r="U1439" s="591"/>
      <c r="V1439" s="591"/>
      <c r="W1439" s="203"/>
      <c r="X1439" s="203"/>
    </row>
    <row r="1440" spans="1:24" ht="25.5" x14ac:dyDescent="0.2">
      <c r="A1440" s="746" t="s">
        <v>1829</v>
      </c>
      <c r="B1440" s="306" t="s">
        <v>98</v>
      </c>
      <c r="C1440" s="354" t="s">
        <v>609</v>
      </c>
      <c r="D1440" s="354" t="s">
        <v>614</v>
      </c>
      <c r="E1440" s="599" t="s">
        <v>1562</v>
      </c>
      <c r="F1440" s="582"/>
      <c r="G1440" s="591">
        <f t="shared" ref="G1440:J1441" si="463">G1441</f>
        <v>45618.961560000003</v>
      </c>
      <c r="H1440" s="591">
        <f t="shared" si="463"/>
        <v>0</v>
      </c>
      <c r="I1440" s="591">
        <f t="shared" si="463"/>
        <v>50228.514719999999</v>
      </c>
      <c r="J1440" s="591">
        <f t="shared" si="463"/>
        <v>0</v>
      </c>
      <c r="K1440" s="591">
        <f t="shared" si="442"/>
        <v>4609.5531599999958</v>
      </c>
      <c r="L1440" s="591">
        <f t="shared" si="443"/>
        <v>0</v>
      </c>
      <c r="M1440" s="217"/>
      <c r="N1440" s="127"/>
      <c r="R1440" s="591">
        <f>R1441</f>
        <v>58438.659480000002</v>
      </c>
      <c r="S1440" s="591">
        <f>S1441</f>
        <v>0</v>
      </c>
      <c r="T1440" s="217"/>
      <c r="U1440" s="591"/>
      <c r="V1440" s="591"/>
      <c r="W1440" s="203"/>
      <c r="X1440" s="203"/>
    </row>
    <row r="1441" spans="1:24" ht="25.5" x14ac:dyDescent="0.2">
      <c r="A1441" s="746" t="s">
        <v>306</v>
      </c>
      <c r="B1441" s="306" t="s">
        <v>98</v>
      </c>
      <c r="C1441" s="354" t="s">
        <v>609</v>
      </c>
      <c r="D1441" s="354" t="s">
        <v>614</v>
      </c>
      <c r="E1441" s="599" t="s">
        <v>1563</v>
      </c>
      <c r="F1441" s="582"/>
      <c r="G1441" s="591">
        <f t="shared" si="463"/>
        <v>45618.961560000003</v>
      </c>
      <c r="H1441" s="591">
        <f t="shared" si="463"/>
        <v>0</v>
      </c>
      <c r="I1441" s="591">
        <f t="shared" si="463"/>
        <v>50228.514719999999</v>
      </c>
      <c r="J1441" s="591">
        <f t="shared" si="463"/>
        <v>0</v>
      </c>
      <c r="K1441" s="591">
        <f t="shared" si="442"/>
        <v>4609.5531599999958</v>
      </c>
      <c r="L1441" s="591">
        <f t="shared" si="443"/>
        <v>0</v>
      </c>
      <c r="M1441" s="217"/>
      <c r="N1441" s="127"/>
      <c r="R1441" s="591">
        <f>R1442</f>
        <v>58438.659480000002</v>
      </c>
      <c r="S1441" s="591">
        <f>S1442</f>
        <v>0</v>
      </c>
      <c r="T1441" s="217"/>
      <c r="U1441" s="591"/>
      <c r="V1441" s="591"/>
      <c r="W1441" s="203"/>
      <c r="X1441" s="203"/>
    </row>
    <row r="1442" spans="1:24" s="124" customFormat="1" ht="25.5" x14ac:dyDescent="0.2">
      <c r="A1442" s="739" t="s">
        <v>836</v>
      </c>
      <c r="B1442" s="124" t="s">
        <v>98</v>
      </c>
      <c r="C1442" s="124" t="s">
        <v>609</v>
      </c>
      <c r="D1442" s="124" t="s">
        <v>614</v>
      </c>
      <c r="E1442" s="124" t="s">
        <v>1563</v>
      </c>
      <c r="F1442" s="369">
        <v>811</v>
      </c>
      <c r="G1442" s="288">
        <f>44706.56156+912.4</f>
        <v>45618.961560000003</v>
      </c>
      <c r="H1442" s="288"/>
      <c r="I1442" s="288">
        <v>50228.514719999999</v>
      </c>
      <c r="J1442" s="288"/>
      <c r="K1442" s="288">
        <f t="shared" si="442"/>
        <v>4609.5531599999958</v>
      </c>
      <c r="L1442" s="288">
        <f t="shared" si="443"/>
        <v>0</v>
      </c>
      <c r="R1442" s="124">
        <v>58438.659480000002</v>
      </c>
    </row>
    <row r="1443" spans="1:24" ht="18.75" hidden="1" customHeight="1" x14ac:dyDescent="0.2">
      <c r="A1443" s="626" t="s">
        <v>1767</v>
      </c>
      <c r="B1443" s="306" t="s">
        <v>98</v>
      </c>
      <c r="C1443" s="354" t="s">
        <v>609</v>
      </c>
      <c r="D1443" s="354" t="s">
        <v>614</v>
      </c>
      <c r="E1443" s="622" t="s">
        <v>1699</v>
      </c>
      <c r="F1443" s="620"/>
      <c r="G1443" s="591">
        <f t="shared" ref="G1443:J1444" si="464">G1444</f>
        <v>0</v>
      </c>
      <c r="H1443" s="591">
        <f t="shared" si="464"/>
        <v>0</v>
      </c>
      <c r="I1443" s="591">
        <f t="shared" si="464"/>
        <v>0</v>
      </c>
      <c r="J1443" s="591">
        <f t="shared" si="464"/>
        <v>0</v>
      </c>
      <c r="K1443" s="519">
        <f t="shared" si="442"/>
        <v>0</v>
      </c>
      <c r="L1443" s="519">
        <f t="shared" si="443"/>
        <v>0</v>
      </c>
      <c r="M1443" s="217"/>
      <c r="N1443" s="127"/>
      <c r="R1443" s="519"/>
      <c r="S1443" s="519"/>
      <c r="T1443" s="217"/>
      <c r="U1443" s="591"/>
      <c r="V1443" s="591"/>
      <c r="W1443" s="203"/>
      <c r="X1443" s="203"/>
    </row>
    <row r="1444" spans="1:24" ht="15.75" hidden="1" customHeight="1" x14ac:dyDescent="0.2">
      <c r="A1444" s="626" t="s">
        <v>1768</v>
      </c>
      <c r="B1444" s="306" t="s">
        <v>98</v>
      </c>
      <c r="C1444" s="354" t="s">
        <v>609</v>
      </c>
      <c r="D1444" s="354" t="s">
        <v>614</v>
      </c>
      <c r="E1444" s="622" t="s">
        <v>1698</v>
      </c>
      <c r="F1444" s="620"/>
      <c r="G1444" s="591">
        <f t="shared" si="464"/>
        <v>0</v>
      </c>
      <c r="H1444" s="591">
        <f t="shared" si="464"/>
        <v>0</v>
      </c>
      <c r="I1444" s="591">
        <f t="shared" si="464"/>
        <v>0</v>
      </c>
      <c r="J1444" s="591">
        <f t="shared" si="464"/>
        <v>0</v>
      </c>
      <c r="K1444" s="519">
        <f t="shared" si="442"/>
        <v>0</v>
      </c>
      <c r="L1444" s="519">
        <f t="shared" si="443"/>
        <v>0</v>
      </c>
      <c r="M1444" s="217"/>
      <c r="N1444" s="127"/>
      <c r="R1444" s="519"/>
      <c r="S1444" s="519"/>
      <c r="T1444" s="217"/>
      <c r="U1444" s="591"/>
      <c r="V1444" s="591"/>
      <c r="W1444" s="203"/>
      <c r="X1444" s="203"/>
    </row>
    <row r="1445" spans="1:24" ht="13.5" hidden="1" customHeight="1" x14ac:dyDescent="0.2">
      <c r="A1445" s="627" t="s">
        <v>164</v>
      </c>
      <c r="B1445" s="516" t="s">
        <v>98</v>
      </c>
      <c r="C1445" s="517" t="s">
        <v>609</v>
      </c>
      <c r="D1445" s="517" t="s">
        <v>614</v>
      </c>
      <c r="E1445" s="523" t="s">
        <v>1698</v>
      </c>
      <c r="F1445" s="523">
        <v>540</v>
      </c>
      <c r="G1445" s="519"/>
      <c r="H1445" s="519"/>
      <c r="I1445" s="519"/>
      <c r="J1445" s="519"/>
      <c r="K1445" s="519">
        <f t="shared" si="442"/>
        <v>0</v>
      </c>
      <c r="L1445" s="519">
        <f t="shared" si="443"/>
        <v>0</v>
      </c>
      <c r="M1445" s="217"/>
      <c r="N1445" s="127"/>
      <c r="R1445" s="519"/>
      <c r="S1445" s="519"/>
      <c r="T1445" s="217"/>
      <c r="U1445" s="591"/>
      <c r="V1445" s="591"/>
      <c r="W1445" s="203"/>
      <c r="X1445" s="203"/>
    </row>
    <row r="1446" spans="1:24" ht="16.5" hidden="1" customHeight="1" x14ac:dyDescent="0.2">
      <c r="A1446" s="133" t="s">
        <v>1205</v>
      </c>
      <c r="B1446" s="388" t="s">
        <v>98</v>
      </c>
      <c r="C1446" s="389" t="s">
        <v>609</v>
      </c>
      <c r="D1446" s="389" t="s">
        <v>614</v>
      </c>
      <c r="E1446" s="390">
        <v>8900000000</v>
      </c>
      <c r="F1446" s="390"/>
      <c r="G1446" s="391">
        <f>G1447</f>
        <v>0</v>
      </c>
      <c r="H1446" s="391">
        <f t="shared" ref="H1446:J1448" si="465">H1447</f>
        <v>0</v>
      </c>
      <c r="I1446" s="391">
        <f>I1447</f>
        <v>0</v>
      </c>
      <c r="J1446" s="391">
        <f t="shared" si="465"/>
        <v>0</v>
      </c>
      <c r="K1446" s="391">
        <f t="shared" si="442"/>
        <v>0</v>
      </c>
      <c r="L1446" s="391">
        <f t="shared" si="443"/>
        <v>0</v>
      </c>
      <c r="M1446" s="217"/>
      <c r="N1446" s="127"/>
      <c r="R1446" s="519"/>
      <c r="S1446" s="519"/>
      <c r="T1446" s="217"/>
      <c r="U1446" s="591"/>
      <c r="V1446" s="591"/>
      <c r="W1446" s="203"/>
      <c r="X1446" s="203"/>
    </row>
    <row r="1447" spans="1:24" ht="14.25" hidden="1" customHeight="1" x14ac:dyDescent="0.2">
      <c r="A1447" s="133" t="s">
        <v>1284</v>
      </c>
      <c r="B1447" s="388" t="s">
        <v>98</v>
      </c>
      <c r="C1447" s="389" t="s">
        <v>609</v>
      </c>
      <c r="D1447" s="389" t="s">
        <v>614</v>
      </c>
      <c r="E1447" s="515">
        <v>8900500000</v>
      </c>
      <c r="F1447" s="390"/>
      <c r="G1447" s="391">
        <f>G1448</f>
        <v>0</v>
      </c>
      <c r="H1447" s="391">
        <f t="shared" si="465"/>
        <v>0</v>
      </c>
      <c r="I1447" s="391">
        <f>I1448</f>
        <v>0</v>
      </c>
      <c r="J1447" s="391">
        <f t="shared" si="465"/>
        <v>0</v>
      </c>
      <c r="K1447" s="391">
        <f t="shared" si="442"/>
        <v>0</v>
      </c>
      <c r="L1447" s="391">
        <f t="shared" si="443"/>
        <v>0</v>
      </c>
      <c r="M1447" s="217"/>
      <c r="N1447" s="127"/>
      <c r="R1447" s="519"/>
      <c r="S1447" s="519"/>
      <c r="T1447" s="217"/>
      <c r="U1447" s="591"/>
      <c r="V1447" s="591"/>
      <c r="W1447" s="203"/>
      <c r="X1447" s="203"/>
    </row>
    <row r="1448" spans="1:24" ht="19.5" hidden="1" customHeight="1" x14ac:dyDescent="0.2">
      <c r="A1448" s="133" t="s">
        <v>1285</v>
      </c>
      <c r="B1448" s="388" t="s">
        <v>98</v>
      </c>
      <c r="C1448" s="389" t="s">
        <v>609</v>
      </c>
      <c r="D1448" s="389" t="s">
        <v>614</v>
      </c>
      <c r="E1448" s="390" t="s">
        <v>1286</v>
      </c>
      <c r="F1448" s="390"/>
      <c r="G1448" s="391">
        <f>G1449</f>
        <v>0</v>
      </c>
      <c r="H1448" s="391">
        <f t="shared" si="465"/>
        <v>0</v>
      </c>
      <c r="I1448" s="391">
        <f>I1449</f>
        <v>0</v>
      </c>
      <c r="J1448" s="391">
        <f t="shared" si="465"/>
        <v>0</v>
      </c>
      <c r="K1448" s="391">
        <f t="shared" si="442"/>
        <v>0</v>
      </c>
      <c r="L1448" s="391">
        <f t="shared" si="443"/>
        <v>0</v>
      </c>
      <c r="M1448" s="217"/>
      <c r="N1448" s="127"/>
      <c r="R1448" s="519"/>
      <c r="S1448" s="519"/>
      <c r="T1448" s="217"/>
      <c r="U1448" s="591"/>
      <c r="V1448" s="591"/>
      <c r="W1448" s="203"/>
      <c r="X1448" s="203"/>
    </row>
    <row r="1449" spans="1:24" s="124" customFormat="1" ht="24.75" hidden="1" customHeight="1" x14ac:dyDescent="0.2">
      <c r="A1449" s="124" t="s">
        <v>1914</v>
      </c>
      <c r="B1449" s="124" t="s">
        <v>98</v>
      </c>
      <c r="C1449" s="124" t="s">
        <v>609</v>
      </c>
      <c r="D1449" s="124" t="s">
        <v>614</v>
      </c>
      <c r="E1449" s="124" t="s">
        <v>1286</v>
      </c>
      <c r="F1449" s="369">
        <v>462</v>
      </c>
      <c r="G1449" s="288">
        <v>0</v>
      </c>
      <c r="H1449" s="288">
        <v>0</v>
      </c>
      <c r="I1449" s="288">
        <v>0</v>
      </c>
      <c r="J1449" s="288">
        <v>0</v>
      </c>
      <c r="K1449" s="288">
        <f t="shared" si="442"/>
        <v>0</v>
      </c>
      <c r="L1449" s="288">
        <f t="shared" si="443"/>
        <v>0</v>
      </c>
    </row>
    <row r="1450" spans="1:24" ht="15" customHeight="1" x14ac:dyDescent="0.2">
      <c r="A1450" s="746" t="s">
        <v>1565</v>
      </c>
      <c r="B1450" s="306" t="s">
        <v>98</v>
      </c>
      <c r="C1450" s="354" t="s">
        <v>609</v>
      </c>
      <c r="D1450" s="354" t="s">
        <v>614</v>
      </c>
      <c r="E1450" s="450" t="s">
        <v>312</v>
      </c>
      <c r="F1450" s="450"/>
      <c r="G1450" s="591">
        <f>G1455+G1453+G1457+G1461+G1459+G1451</f>
        <v>0</v>
      </c>
      <c r="H1450" s="591">
        <f>H1455+H1453+H1457+H1461+H1459+H1451</f>
        <v>0</v>
      </c>
      <c r="I1450" s="591">
        <f>I1455+I1453+I1457+I1461+I1459+I1451</f>
        <v>507.24799999999999</v>
      </c>
      <c r="J1450" s="591">
        <f>J1455+J1453+J1457+J1461+J1459+J1451</f>
        <v>0</v>
      </c>
      <c r="K1450" s="591">
        <f t="shared" ref="K1450:K1517" si="466">I1450-G1450</f>
        <v>507.24799999999999</v>
      </c>
      <c r="L1450" s="591">
        <f t="shared" ref="L1450:L1517" si="467">J1450-H1450</f>
        <v>0</v>
      </c>
      <c r="M1450" s="217">
        <f t="shared" ref="M1450:M1462" si="468">I1450-G1450-K1450</f>
        <v>0</v>
      </c>
      <c r="N1450" s="127">
        <f>N1451</f>
        <v>985.45600000000002</v>
      </c>
      <c r="R1450" s="591">
        <f>R1455+R1453+R1457+R1461+R1459+R1451</f>
        <v>0</v>
      </c>
      <c r="S1450" s="591">
        <f>S1455+S1453+S1457+S1461+S1459+S1451</f>
        <v>0</v>
      </c>
      <c r="T1450" s="217">
        <f t="shared" ref="T1450:T1462" si="469">I1450-G1450</f>
        <v>507.24799999999999</v>
      </c>
      <c r="U1450" s="498">
        <f>U1455+U1453+U1457+U1461+U1459+U1451</f>
        <v>93529.030780000001</v>
      </c>
      <c r="V1450" s="498">
        <f>V1455+V1453+V1457+V1461+V1459+V1451</f>
        <v>0</v>
      </c>
      <c r="W1450" s="203">
        <f t="shared" ref="W1450:W1455" si="470">G1450-I1450</f>
        <v>-507.24799999999999</v>
      </c>
      <c r="X1450" s="203">
        <f t="shared" ref="X1450:X1455" si="471">K1450+W1450</f>
        <v>0</v>
      </c>
    </row>
    <row r="1451" spans="1:24" ht="15" customHeight="1" x14ac:dyDescent="0.2">
      <c r="A1451" s="746" t="s">
        <v>2022</v>
      </c>
      <c r="B1451" s="306" t="s">
        <v>98</v>
      </c>
      <c r="C1451" s="354" t="s">
        <v>609</v>
      </c>
      <c r="D1451" s="354" t="s">
        <v>614</v>
      </c>
      <c r="E1451" s="450">
        <v>9990082120</v>
      </c>
      <c r="F1451" s="450"/>
      <c r="G1451" s="591">
        <f>G1452</f>
        <v>0</v>
      </c>
      <c r="H1451" s="591">
        <f>H1452</f>
        <v>0</v>
      </c>
      <c r="I1451" s="591">
        <f>I1452</f>
        <v>507.24799999999999</v>
      </c>
      <c r="J1451" s="591">
        <f>J1452</f>
        <v>0</v>
      </c>
      <c r="K1451" s="591">
        <f t="shared" si="466"/>
        <v>507.24799999999999</v>
      </c>
      <c r="L1451" s="591">
        <f t="shared" si="467"/>
        <v>0</v>
      </c>
      <c r="M1451" s="217">
        <f t="shared" si="468"/>
        <v>0</v>
      </c>
      <c r="N1451" s="127">
        <f>N1452</f>
        <v>985.45600000000002</v>
      </c>
      <c r="R1451" s="591">
        <f>R1452</f>
        <v>0</v>
      </c>
      <c r="S1451" s="591">
        <f>S1452</f>
        <v>0</v>
      </c>
      <c r="T1451" s="217">
        <f t="shared" si="469"/>
        <v>507.24799999999999</v>
      </c>
      <c r="U1451" s="498">
        <f>U1452</f>
        <v>0</v>
      </c>
      <c r="V1451" s="498">
        <f>V1452</f>
        <v>0</v>
      </c>
      <c r="W1451" s="203">
        <f t="shared" si="470"/>
        <v>-507.24799999999999</v>
      </c>
      <c r="X1451" s="203">
        <f t="shared" si="471"/>
        <v>0</v>
      </c>
    </row>
    <row r="1452" spans="1:24" ht="18.75" customHeight="1" x14ac:dyDescent="0.2">
      <c r="A1452" s="739" t="s">
        <v>1553</v>
      </c>
      <c r="B1452" s="243" t="s">
        <v>98</v>
      </c>
      <c r="C1452" s="353" t="s">
        <v>609</v>
      </c>
      <c r="D1452" s="353" t="s">
        <v>614</v>
      </c>
      <c r="E1452" s="369">
        <v>9990082120</v>
      </c>
      <c r="F1452" s="369">
        <v>622</v>
      </c>
      <c r="G1452" s="288"/>
      <c r="H1452" s="288"/>
      <c r="I1452" s="288">
        <v>507.24799999999999</v>
      </c>
      <c r="J1452" s="288"/>
      <c r="K1452" s="43">
        <f t="shared" si="466"/>
        <v>507.24799999999999</v>
      </c>
      <c r="L1452" s="43">
        <f t="shared" si="467"/>
        <v>0</v>
      </c>
      <c r="M1452" s="217">
        <f t="shared" si="468"/>
        <v>0</v>
      </c>
      <c r="N1452" s="130">
        <v>985.45600000000002</v>
      </c>
      <c r="R1452" s="288"/>
      <c r="S1452" s="288"/>
      <c r="T1452" s="217">
        <f t="shared" si="469"/>
        <v>507.24799999999999</v>
      </c>
      <c r="U1452" s="288"/>
      <c r="V1452" s="288"/>
      <c r="W1452" s="203">
        <f t="shared" si="470"/>
        <v>-507.24799999999999</v>
      </c>
      <c r="X1452" s="203">
        <f t="shared" si="471"/>
        <v>0</v>
      </c>
    </row>
    <row r="1453" spans="1:24" ht="21" hidden="1" customHeight="1" x14ac:dyDescent="0.2">
      <c r="A1453" s="451" t="s">
        <v>1543</v>
      </c>
      <c r="B1453" s="306" t="s">
        <v>98</v>
      </c>
      <c r="C1453" s="354" t="s">
        <v>609</v>
      </c>
      <c r="D1453" s="354" t="s">
        <v>614</v>
      </c>
      <c r="E1453" s="450" t="s">
        <v>878</v>
      </c>
      <c r="F1453" s="450"/>
      <c r="G1453" s="498">
        <f>G1454</f>
        <v>0</v>
      </c>
      <c r="H1453" s="498">
        <f>H1454</f>
        <v>0</v>
      </c>
      <c r="I1453" s="591">
        <f>I1454</f>
        <v>0</v>
      </c>
      <c r="J1453" s="591">
        <f>J1454</f>
        <v>0</v>
      </c>
      <c r="K1453" s="591">
        <f t="shared" si="466"/>
        <v>0</v>
      </c>
      <c r="L1453" s="591">
        <f t="shared" si="467"/>
        <v>0</v>
      </c>
      <c r="M1453" s="217">
        <f t="shared" si="468"/>
        <v>0</v>
      </c>
      <c r="N1453" s="299"/>
      <c r="R1453" s="591">
        <f>R1454</f>
        <v>0</v>
      </c>
      <c r="S1453" s="591">
        <f>S1454</f>
        <v>0</v>
      </c>
      <c r="T1453" s="217">
        <f t="shared" si="469"/>
        <v>0</v>
      </c>
      <c r="U1453" s="498">
        <f>U1454</f>
        <v>72904.62</v>
      </c>
      <c r="V1453" s="498">
        <f>V1454</f>
        <v>0</v>
      </c>
      <c r="W1453" s="203">
        <f t="shared" si="470"/>
        <v>0</v>
      </c>
      <c r="X1453" s="203">
        <f t="shared" si="471"/>
        <v>0</v>
      </c>
    </row>
    <row r="1454" spans="1:24" ht="19.5" hidden="1" customHeight="1" x14ac:dyDescent="0.2">
      <c r="A1454" s="124" t="s">
        <v>1543</v>
      </c>
      <c r="B1454" s="243" t="s">
        <v>98</v>
      </c>
      <c r="C1454" s="353" t="s">
        <v>609</v>
      </c>
      <c r="D1454" s="353" t="s">
        <v>614</v>
      </c>
      <c r="E1454" s="369" t="s">
        <v>878</v>
      </c>
      <c r="F1454" s="369">
        <v>811</v>
      </c>
      <c r="G1454" s="288">
        <v>0</v>
      </c>
      <c r="H1454" s="288"/>
      <c r="I1454" s="288">
        <v>0</v>
      </c>
      <c r="J1454" s="288"/>
      <c r="K1454" s="43">
        <f t="shared" si="466"/>
        <v>0</v>
      </c>
      <c r="L1454" s="43">
        <f t="shared" si="467"/>
        <v>0</v>
      </c>
      <c r="M1454" s="217">
        <f t="shared" si="468"/>
        <v>0</v>
      </c>
      <c r="N1454" s="299"/>
      <c r="R1454" s="288">
        <v>0</v>
      </c>
      <c r="S1454" s="288"/>
      <c r="T1454" s="217">
        <f t="shared" si="469"/>
        <v>0</v>
      </c>
      <c r="U1454" s="288">
        <v>72904.62</v>
      </c>
      <c r="V1454" s="288">
        <v>0</v>
      </c>
      <c r="W1454" s="203">
        <f t="shared" si="470"/>
        <v>0</v>
      </c>
      <c r="X1454" s="203">
        <f t="shared" si="471"/>
        <v>0</v>
      </c>
    </row>
    <row r="1455" spans="1:24" ht="21" hidden="1" customHeight="1" x14ac:dyDescent="0.2">
      <c r="A1455" s="451" t="s">
        <v>1543</v>
      </c>
      <c r="B1455" s="306" t="s">
        <v>98</v>
      </c>
      <c r="C1455" s="354" t="s">
        <v>609</v>
      </c>
      <c r="D1455" s="354" t="s">
        <v>614</v>
      </c>
      <c r="E1455" s="450" t="s">
        <v>880</v>
      </c>
      <c r="F1455" s="450"/>
      <c r="G1455" s="498">
        <f>G1456</f>
        <v>0</v>
      </c>
      <c r="H1455" s="498">
        <f>H1456</f>
        <v>0</v>
      </c>
      <c r="I1455" s="591">
        <f>I1456</f>
        <v>0</v>
      </c>
      <c r="J1455" s="591">
        <f>J1456</f>
        <v>0</v>
      </c>
      <c r="K1455" s="591">
        <f t="shared" si="466"/>
        <v>0</v>
      </c>
      <c r="L1455" s="591">
        <f t="shared" si="467"/>
        <v>0</v>
      </c>
      <c r="M1455" s="217">
        <f t="shared" si="468"/>
        <v>0</v>
      </c>
      <c r="N1455" s="299"/>
      <c r="R1455" s="591">
        <f>R1456</f>
        <v>0</v>
      </c>
      <c r="S1455" s="591">
        <f>S1456</f>
        <v>0</v>
      </c>
      <c r="T1455" s="217">
        <f t="shared" si="469"/>
        <v>0</v>
      </c>
      <c r="U1455" s="498">
        <f>U1456</f>
        <v>0</v>
      </c>
      <c r="V1455" s="498">
        <f>V1456</f>
        <v>0</v>
      </c>
      <c r="W1455" s="203">
        <f t="shared" si="470"/>
        <v>0</v>
      </c>
      <c r="X1455" s="203">
        <f t="shared" si="471"/>
        <v>0</v>
      </c>
    </row>
    <row r="1456" spans="1:24" ht="23.25" hidden="1" customHeight="1" x14ac:dyDescent="0.2">
      <c r="A1456" s="124" t="s">
        <v>1543</v>
      </c>
      <c r="B1456" s="243" t="s">
        <v>98</v>
      </c>
      <c r="C1456" s="353" t="s">
        <v>609</v>
      </c>
      <c r="D1456" s="353" t="s">
        <v>614</v>
      </c>
      <c r="E1456" s="369" t="s">
        <v>880</v>
      </c>
      <c r="F1456" s="369" t="s">
        <v>634</v>
      </c>
      <c r="G1456" s="288"/>
      <c r="H1456" s="288"/>
      <c r="I1456" s="288"/>
      <c r="J1456" s="288"/>
      <c r="K1456" s="43">
        <f t="shared" si="466"/>
        <v>0</v>
      </c>
      <c r="L1456" s="43">
        <f t="shared" si="467"/>
        <v>0</v>
      </c>
      <c r="M1456" s="217">
        <f t="shared" si="468"/>
        <v>0</v>
      </c>
      <c r="N1456" s="299"/>
      <c r="R1456" s="288"/>
      <c r="S1456" s="288"/>
      <c r="T1456" s="217">
        <f t="shared" si="469"/>
        <v>0</v>
      </c>
      <c r="U1456" s="288"/>
      <c r="V1456" s="288"/>
      <c r="W1456" s="203">
        <f t="shared" ref="W1456:W1569" si="472">G1456-I1456</f>
        <v>0</v>
      </c>
      <c r="X1456" s="203">
        <f t="shared" ref="X1456:X1569" si="473">K1456+W1456</f>
        <v>0</v>
      </c>
    </row>
    <row r="1457" spans="1:24" s="283" customFormat="1" ht="9.75" hidden="1" customHeight="1" x14ac:dyDescent="0.2">
      <c r="A1457" s="451" t="s">
        <v>1543</v>
      </c>
      <c r="B1457" s="306" t="s">
        <v>98</v>
      </c>
      <c r="C1457" s="354" t="s">
        <v>609</v>
      </c>
      <c r="D1457" s="354" t="s">
        <v>614</v>
      </c>
      <c r="E1457" s="450" t="s">
        <v>1171</v>
      </c>
      <c r="F1457" s="450"/>
      <c r="G1457" s="498">
        <f>G1458</f>
        <v>0</v>
      </c>
      <c r="H1457" s="498">
        <f>H1458</f>
        <v>0</v>
      </c>
      <c r="I1457" s="591">
        <f>I1458</f>
        <v>0</v>
      </c>
      <c r="J1457" s="591">
        <f>J1458</f>
        <v>0</v>
      </c>
      <c r="K1457" s="591">
        <f t="shared" si="466"/>
        <v>0</v>
      </c>
      <c r="L1457" s="591">
        <f t="shared" si="467"/>
        <v>0</v>
      </c>
      <c r="M1457" s="217">
        <f t="shared" si="468"/>
        <v>0</v>
      </c>
      <c r="N1457" s="263" t="e">
        <f>#REF!+N1458</f>
        <v>#REF!</v>
      </c>
      <c r="R1457" s="591">
        <f>R1458</f>
        <v>0</v>
      </c>
      <c r="S1457" s="591">
        <f>S1458</f>
        <v>0</v>
      </c>
      <c r="T1457" s="289">
        <f t="shared" si="469"/>
        <v>0</v>
      </c>
      <c r="U1457" s="498">
        <f>U1458</f>
        <v>0</v>
      </c>
      <c r="V1457" s="498">
        <f>V1458</f>
        <v>0</v>
      </c>
      <c r="W1457" s="290">
        <f t="shared" si="472"/>
        <v>0</v>
      </c>
      <c r="X1457" s="290">
        <f t="shared" si="473"/>
        <v>0</v>
      </c>
    </row>
    <row r="1458" spans="1:24" s="283" customFormat="1" ht="10.5" hidden="1" customHeight="1" x14ac:dyDescent="0.2">
      <c r="A1458" s="124" t="s">
        <v>1543</v>
      </c>
      <c r="B1458" s="243" t="s">
        <v>98</v>
      </c>
      <c r="C1458" s="353" t="s">
        <v>609</v>
      </c>
      <c r="D1458" s="353" t="s">
        <v>614</v>
      </c>
      <c r="E1458" s="369" t="s">
        <v>1171</v>
      </c>
      <c r="F1458" s="369" t="s">
        <v>952</v>
      </c>
      <c r="G1458" s="288"/>
      <c r="H1458" s="288"/>
      <c r="I1458" s="288"/>
      <c r="J1458" s="288"/>
      <c r="K1458" s="43">
        <f t="shared" si="466"/>
        <v>0</v>
      </c>
      <c r="L1458" s="43">
        <f t="shared" si="467"/>
        <v>0</v>
      </c>
      <c r="M1458" s="217">
        <f t="shared" si="468"/>
        <v>0</v>
      </c>
      <c r="N1458" s="264"/>
      <c r="R1458" s="288"/>
      <c r="S1458" s="288"/>
      <c r="T1458" s="289">
        <f t="shared" si="469"/>
        <v>0</v>
      </c>
      <c r="U1458" s="288"/>
      <c r="V1458" s="288"/>
      <c r="W1458" s="290">
        <f t="shared" si="472"/>
        <v>0</v>
      </c>
      <c r="X1458" s="290">
        <f t="shared" si="473"/>
        <v>0</v>
      </c>
    </row>
    <row r="1459" spans="1:24" ht="11.25" hidden="1" customHeight="1" x14ac:dyDescent="0.2">
      <c r="A1459" s="451" t="s">
        <v>1543</v>
      </c>
      <c r="B1459" s="306" t="s">
        <v>98</v>
      </c>
      <c r="C1459" s="354" t="s">
        <v>609</v>
      </c>
      <c r="D1459" s="354" t="s">
        <v>614</v>
      </c>
      <c r="E1459" s="450" t="s">
        <v>782</v>
      </c>
      <c r="F1459" s="450"/>
      <c r="G1459" s="498">
        <f>G1460</f>
        <v>0</v>
      </c>
      <c r="H1459" s="498">
        <f>H1460</f>
        <v>0</v>
      </c>
      <c r="I1459" s="591">
        <f>I1460</f>
        <v>0</v>
      </c>
      <c r="J1459" s="591">
        <f>J1460</f>
        <v>0</v>
      </c>
      <c r="K1459" s="591">
        <f t="shared" si="466"/>
        <v>0</v>
      </c>
      <c r="L1459" s="591">
        <f t="shared" si="467"/>
        <v>0</v>
      </c>
      <c r="M1459" s="217">
        <f t="shared" si="468"/>
        <v>0</v>
      </c>
      <c r="N1459" s="43"/>
      <c r="R1459" s="591">
        <f>R1460</f>
        <v>0</v>
      </c>
      <c r="S1459" s="591">
        <f>S1460</f>
        <v>0</v>
      </c>
      <c r="T1459" s="217">
        <f t="shared" si="469"/>
        <v>0</v>
      </c>
      <c r="U1459" s="498">
        <f>U1460</f>
        <v>3337.9992000000002</v>
      </c>
      <c r="V1459" s="498">
        <f>V1460</f>
        <v>0</v>
      </c>
      <c r="W1459" s="203">
        <f t="shared" si="472"/>
        <v>0</v>
      </c>
      <c r="X1459" s="203">
        <f t="shared" si="473"/>
        <v>0</v>
      </c>
    </row>
    <row r="1460" spans="1:24" ht="16.5" hidden="1" customHeight="1" x14ac:dyDescent="0.2">
      <c r="A1460" s="124" t="s">
        <v>1543</v>
      </c>
      <c r="B1460" s="243" t="s">
        <v>98</v>
      </c>
      <c r="C1460" s="353" t="s">
        <v>609</v>
      </c>
      <c r="D1460" s="353" t="s">
        <v>614</v>
      </c>
      <c r="E1460" s="369" t="s">
        <v>782</v>
      </c>
      <c r="F1460" s="369">
        <v>244</v>
      </c>
      <c r="G1460" s="288"/>
      <c r="H1460" s="288"/>
      <c r="I1460" s="288"/>
      <c r="J1460" s="288"/>
      <c r="K1460" s="255">
        <f t="shared" si="466"/>
        <v>0</v>
      </c>
      <c r="L1460" s="43">
        <f t="shared" si="467"/>
        <v>0</v>
      </c>
      <c r="M1460" s="217">
        <f t="shared" si="468"/>
        <v>0</v>
      </c>
      <c r="N1460" s="43"/>
      <c r="P1460" s="166">
        <f>K1460+K1668</f>
        <v>0</v>
      </c>
      <c r="Q1460" s="166"/>
      <c r="R1460" s="288"/>
      <c r="S1460" s="288"/>
      <c r="T1460" s="217">
        <f t="shared" si="469"/>
        <v>0</v>
      </c>
      <c r="U1460" s="288">
        <v>3337.9992000000002</v>
      </c>
      <c r="V1460" s="288">
        <v>0</v>
      </c>
      <c r="W1460" s="203">
        <f t="shared" si="472"/>
        <v>0</v>
      </c>
      <c r="X1460" s="203">
        <f t="shared" si="473"/>
        <v>0</v>
      </c>
    </row>
    <row r="1461" spans="1:24" ht="16.5" hidden="1" customHeight="1" x14ac:dyDescent="0.2">
      <c r="A1461" s="579" t="s">
        <v>1543</v>
      </c>
      <c r="B1461" s="306" t="s">
        <v>98</v>
      </c>
      <c r="C1461" s="354" t="s">
        <v>609</v>
      </c>
      <c r="D1461" s="354" t="s">
        <v>614</v>
      </c>
      <c r="E1461" s="495" t="s">
        <v>1399</v>
      </c>
      <c r="F1461" s="450"/>
      <c r="G1461" s="498">
        <f>G1462</f>
        <v>0</v>
      </c>
      <c r="H1461" s="498">
        <f>H1462</f>
        <v>0</v>
      </c>
      <c r="I1461" s="591">
        <f>I1462</f>
        <v>0</v>
      </c>
      <c r="J1461" s="591">
        <f>J1462</f>
        <v>0</v>
      </c>
      <c r="K1461" s="591">
        <f t="shared" si="466"/>
        <v>0</v>
      </c>
      <c r="L1461" s="591">
        <f t="shared" si="467"/>
        <v>0</v>
      </c>
      <c r="M1461" s="217">
        <f t="shared" si="468"/>
        <v>0</v>
      </c>
      <c r="N1461" s="43"/>
      <c r="R1461" s="591">
        <f>R1462</f>
        <v>0</v>
      </c>
      <c r="S1461" s="591">
        <f>S1462</f>
        <v>0</v>
      </c>
      <c r="T1461" s="217">
        <f t="shared" si="469"/>
        <v>0</v>
      </c>
      <c r="U1461" s="498">
        <f>U1462</f>
        <v>17286.41158</v>
      </c>
      <c r="V1461" s="498">
        <f>V1462</f>
        <v>0</v>
      </c>
      <c r="W1461" s="203">
        <f t="shared" si="472"/>
        <v>0</v>
      </c>
      <c r="X1461" s="203">
        <f t="shared" si="473"/>
        <v>0</v>
      </c>
    </row>
    <row r="1462" spans="1:24" ht="16.5" hidden="1" customHeight="1" x14ac:dyDescent="0.2">
      <c r="A1462" s="186" t="s">
        <v>1543</v>
      </c>
      <c r="B1462" s="243" t="s">
        <v>98</v>
      </c>
      <c r="C1462" s="353" t="s">
        <v>609</v>
      </c>
      <c r="D1462" s="353" t="s">
        <v>614</v>
      </c>
      <c r="E1462" s="386" t="s">
        <v>1399</v>
      </c>
      <c r="F1462" s="369">
        <v>540</v>
      </c>
      <c r="G1462" s="288">
        <v>0</v>
      </c>
      <c r="H1462" s="288"/>
      <c r="I1462" s="288">
        <v>0</v>
      </c>
      <c r="J1462" s="288"/>
      <c r="K1462" s="43">
        <f t="shared" si="466"/>
        <v>0</v>
      </c>
      <c r="L1462" s="43">
        <f t="shared" si="467"/>
        <v>0</v>
      </c>
      <c r="M1462" s="217">
        <f t="shared" si="468"/>
        <v>0</v>
      </c>
      <c r="N1462" s="43"/>
      <c r="R1462" s="288">
        <v>0</v>
      </c>
      <c r="S1462" s="288"/>
      <c r="T1462" s="217">
        <f t="shared" si="469"/>
        <v>0</v>
      </c>
      <c r="U1462" s="288">
        <v>17286.41158</v>
      </c>
      <c r="V1462" s="288">
        <v>0</v>
      </c>
      <c r="W1462" s="203">
        <f t="shared" si="472"/>
        <v>0</v>
      </c>
      <c r="X1462" s="203">
        <f t="shared" si="473"/>
        <v>0</v>
      </c>
    </row>
    <row r="1463" spans="1:24" s="307" customFormat="1" ht="15" x14ac:dyDescent="0.2">
      <c r="A1463" s="746" t="s">
        <v>153</v>
      </c>
      <c r="B1463" s="306" t="s">
        <v>98</v>
      </c>
      <c r="C1463" s="354" t="s">
        <v>609</v>
      </c>
      <c r="D1463" s="509" t="s">
        <v>606</v>
      </c>
      <c r="E1463" s="506"/>
      <c r="F1463" s="495"/>
      <c r="G1463" s="591">
        <f>G1464+G1478</f>
        <v>60144.379860000001</v>
      </c>
      <c r="H1463" s="591">
        <f>H1464+H1478</f>
        <v>59437.095869999997</v>
      </c>
      <c r="I1463" s="591">
        <f>I1464+I1478</f>
        <v>60144.379860000001</v>
      </c>
      <c r="J1463" s="591">
        <f>J1464+J1478</f>
        <v>59437.095869999997</v>
      </c>
      <c r="K1463" s="591">
        <f t="shared" si="466"/>
        <v>0</v>
      </c>
      <c r="L1463" s="591">
        <f t="shared" si="467"/>
        <v>0</v>
      </c>
      <c r="M1463" s="309"/>
      <c r="N1463" s="292"/>
      <c r="R1463" s="591">
        <f>R1464+R1478</f>
        <v>39809.501449999996</v>
      </c>
      <c r="S1463" s="591">
        <f>S1464+S1478</f>
        <v>39304.3128</v>
      </c>
      <c r="T1463" s="309"/>
      <c r="U1463" s="498">
        <f>U1478</f>
        <v>5696.73</v>
      </c>
      <c r="V1463" s="498">
        <f>V1478</f>
        <v>5526.9674500000001</v>
      </c>
      <c r="W1463" s="310"/>
      <c r="X1463" s="310"/>
    </row>
    <row r="1464" spans="1:24" s="307" customFormat="1" ht="15" customHeight="1" x14ac:dyDescent="0.2">
      <c r="A1464" s="746" t="s">
        <v>1769</v>
      </c>
      <c r="B1464" s="306" t="s">
        <v>98</v>
      </c>
      <c r="C1464" s="354" t="s">
        <v>609</v>
      </c>
      <c r="D1464" s="354" t="s">
        <v>606</v>
      </c>
      <c r="E1464" s="545" t="s">
        <v>711</v>
      </c>
      <c r="F1464" s="545"/>
      <c r="G1464" s="591">
        <f>G1472+G1465</f>
        <v>60144.379860000001</v>
      </c>
      <c r="H1464" s="591">
        <f>H1472+H1465</f>
        <v>59437.095869999997</v>
      </c>
      <c r="I1464" s="591">
        <f>I1472+I1465</f>
        <v>60144.379860000001</v>
      </c>
      <c r="J1464" s="591">
        <f>J1472+J1465</f>
        <v>59437.095869999997</v>
      </c>
      <c r="K1464" s="591">
        <f t="shared" si="466"/>
        <v>0</v>
      </c>
      <c r="L1464" s="591">
        <f t="shared" si="467"/>
        <v>0</v>
      </c>
      <c r="M1464" s="309"/>
      <c r="N1464" s="292"/>
      <c r="R1464" s="591">
        <f>R1472+R1465</f>
        <v>39809.501449999996</v>
      </c>
      <c r="S1464" s="591">
        <f>S1472+S1465</f>
        <v>39304.3128</v>
      </c>
      <c r="T1464" s="309"/>
      <c r="U1464" s="498"/>
      <c r="V1464" s="498"/>
      <c r="W1464" s="310"/>
      <c r="X1464" s="310"/>
    </row>
    <row r="1465" spans="1:24" s="307" customFormat="1" ht="15" hidden="1" x14ac:dyDescent="0.2">
      <c r="A1465" s="641" t="s">
        <v>1825</v>
      </c>
      <c r="B1465" s="306" t="s">
        <v>98</v>
      </c>
      <c r="C1465" s="354" t="s">
        <v>609</v>
      </c>
      <c r="D1465" s="354" t="s">
        <v>606</v>
      </c>
      <c r="E1465" s="582">
        <v>8300200000</v>
      </c>
      <c r="F1465" s="582"/>
      <c r="G1465" s="591">
        <f>G1466+G1469</f>
        <v>0</v>
      </c>
      <c r="H1465" s="591">
        <f>H1466+H1469</f>
        <v>0</v>
      </c>
      <c r="I1465" s="591">
        <f>I1466+I1469</f>
        <v>0</v>
      </c>
      <c r="J1465" s="591">
        <f>J1466+J1469</f>
        <v>0</v>
      </c>
      <c r="K1465" s="591">
        <f t="shared" si="466"/>
        <v>0</v>
      </c>
      <c r="L1465" s="591">
        <f t="shared" si="467"/>
        <v>0</v>
      </c>
      <c r="M1465" s="309"/>
      <c r="N1465" s="292"/>
      <c r="R1465" s="591">
        <f>R1466+R1469</f>
        <v>29697</v>
      </c>
      <c r="S1465" s="591">
        <f>S1466+S1469</f>
        <v>29400</v>
      </c>
      <c r="T1465" s="309"/>
      <c r="U1465" s="591"/>
      <c r="V1465" s="591"/>
      <c r="W1465" s="310"/>
      <c r="X1465" s="310"/>
    </row>
    <row r="1466" spans="1:24" s="307" customFormat="1" ht="25.5" hidden="1" x14ac:dyDescent="0.2">
      <c r="A1466" s="641" t="s">
        <v>1826</v>
      </c>
      <c r="B1466" s="306" t="s">
        <v>98</v>
      </c>
      <c r="C1466" s="354" t="s">
        <v>609</v>
      </c>
      <c r="D1466" s="354" t="s">
        <v>606</v>
      </c>
      <c r="E1466" s="582">
        <v>8300255050</v>
      </c>
      <c r="F1466" s="582"/>
      <c r="G1466" s="591">
        <f>G1467+G1468</f>
        <v>0</v>
      </c>
      <c r="H1466" s="591">
        <f>H1467+H1468</f>
        <v>0</v>
      </c>
      <c r="I1466" s="591">
        <f>I1467+I1468</f>
        <v>0</v>
      </c>
      <c r="J1466" s="591">
        <f>J1467+J1468</f>
        <v>0</v>
      </c>
      <c r="K1466" s="591">
        <f t="shared" si="466"/>
        <v>0</v>
      </c>
      <c r="L1466" s="591">
        <f t="shared" si="467"/>
        <v>0</v>
      </c>
      <c r="M1466" s="309"/>
      <c r="N1466" s="292"/>
      <c r="R1466" s="591">
        <f>R1467+R1468</f>
        <v>29400</v>
      </c>
      <c r="S1466" s="591">
        <f>S1467+S1468</f>
        <v>29400</v>
      </c>
      <c r="T1466" s="309"/>
      <c r="U1466" s="591"/>
      <c r="V1466" s="591"/>
      <c r="W1466" s="310"/>
      <c r="X1466" s="310"/>
    </row>
    <row r="1467" spans="1:24" s="307" customFormat="1" ht="15" hidden="1" x14ac:dyDescent="0.2">
      <c r="A1467" s="644" t="s">
        <v>164</v>
      </c>
      <c r="B1467" s="516" t="s">
        <v>98</v>
      </c>
      <c r="C1467" s="517" t="s">
        <v>609</v>
      </c>
      <c r="D1467" s="517" t="s">
        <v>606</v>
      </c>
      <c r="E1467" s="523">
        <v>8300255050</v>
      </c>
      <c r="F1467" s="523">
        <v>540</v>
      </c>
      <c r="G1467" s="519"/>
      <c r="H1467" s="519"/>
      <c r="I1467" s="519"/>
      <c r="J1467" s="519"/>
      <c r="K1467" s="519">
        <f t="shared" si="466"/>
        <v>0</v>
      </c>
      <c r="L1467" s="519">
        <f t="shared" si="467"/>
        <v>0</v>
      </c>
      <c r="M1467" s="309"/>
      <c r="N1467" s="292"/>
      <c r="R1467" s="519">
        <v>3920</v>
      </c>
      <c r="S1467" s="519">
        <v>3920</v>
      </c>
      <c r="T1467" s="309"/>
      <c r="U1467" s="591"/>
      <c r="V1467" s="591"/>
      <c r="W1467" s="310"/>
      <c r="X1467" s="310"/>
    </row>
    <row r="1468" spans="1:24" s="307" customFormat="1" ht="15" hidden="1" x14ac:dyDescent="0.2">
      <c r="A1468" s="644" t="s">
        <v>126</v>
      </c>
      <c r="B1468" s="516" t="s">
        <v>98</v>
      </c>
      <c r="C1468" s="517" t="s">
        <v>609</v>
      </c>
      <c r="D1468" s="517" t="s">
        <v>606</v>
      </c>
      <c r="E1468" s="523">
        <v>8300255050</v>
      </c>
      <c r="F1468" s="523">
        <v>622</v>
      </c>
      <c r="G1468" s="519"/>
      <c r="H1468" s="519"/>
      <c r="I1468" s="519"/>
      <c r="J1468" s="519"/>
      <c r="K1468" s="519">
        <f t="shared" si="466"/>
        <v>0</v>
      </c>
      <c r="L1468" s="519">
        <f t="shared" si="467"/>
        <v>0</v>
      </c>
      <c r="M1468" s="309"/>
      <c r="N1468" s="292"/>
      <c r="R1468" s="519">
        <v>25480</v>
      </c>
      <c r="S1468" s="519">
        <v>25480</v>
      </c>
      <c r="T1468" s="309"/>
      <c r="U1468" s="591"/>
      <c r="V1468" s="591"/>
      <c r="W1468" s="310"/>
      <c r="X1468" s="310"/>
    </row>
    <row r="1469" spans="1:24" s="307" customFormat="1" ht="38.25" hidden="1" x14ac:dyDescent="0.2">
      <c r="A1469" s="641" t="s">
        <v>1827</v>
      </c>
      <c r="B1469" s="306" t="s">
        <v>98</v>
      </c>
      <c r="C1469" s="354" t="s">
        <v>609</v>
      </c>
      <c r="D1469" s="354" t="s">
        <v>606</v>
      </c>
      <c r="E1469" s="582">
        <v>8300274330</v>
      </c>
      <c r="F1469" s="582"/>
      <c r="G1469" s="591">
        <f>G1470+G1471</f>
        <v>0</v>
      </c>
      <c r="H1469" s="591">
        <f>H1470+H1471</f>
        <v>0</v>
      </c>
      <c r="I1469" s="591">
        <f>I1470+I1471</f>
        <v>0</v>
      </c>
      <c r="J1469" s="591">
        <f>J1470+J1471</f>
        <v>0</v>
      </c>
      <c r="K1469" s="591">
        <f t="shared" si="466"/>
        <v>0</v>
      </c>
      <c r="L1469" s="591">
        <f t="shared" si="467"/>
        <v>0</v>
      </c>
      <c r="M1469" s="309"/>
      <c r="N1469" s="292"/>
      <c r="R1469" s="591">
        <f>R1470+R1471</f>
        <v>297</v>
      </c>
      <c r="S1469" s="591">
        <f>S1470+S1471</f>
        <v>0</v>
      </c>
      <c r="T1469" s="309"/>
      <c r="U1469" s="591"/>
      <c r="V1469" s="591"/>
      <c r="W1469" s="310"/>
      <c r="X1469" s="310"/>
    </row>
    <row r="1470" spans="1:24" s="307" customFormat="1" ht="15" hidden="1" x14ac:dyDescent="0.2">
      <c r="A1470" s="644" t="s">
        <v>164</v>
      </c>
      <c r="B1470" s="516" t="s">
        <v>98</v>
      </c>
      <c r="C1470" s="517" t="s">
        <v>609</v>
      </c>
      <c r="D1470" s="517" t="s">
        <v>606</v>
      </c>
      <c r="E1470" s="523">
        <v>8300274330</v>
      </c>
      <c r="F1470" s="523">
        <v>540</v>
      </c>
      <c r="G1470" s="519"/>
      <c r="H1470" s="519"/>
      <c r="I1470" s="519"/>
      <c r="J1470" s="519"/>
      <c r="K1470" s="519">
        <f t="shared" si="466"/>
        <v>0</v>
      </c>
      <c r="L1470" s="519">
        <f t="shared" si="467"/>
        <v>0</v>
      </c>
      <c r="M1470" s="309"/>
      <c r="N1470" s="292"/>
      <c r="R1470" s="519">
        <v>39.6</v>
      </c>
      <c r="S1470" s="519"/>
      <c r="T1470" s="309"/>
      <c r="U1470" s="591"/>
      <c r="V1470" s="591"/>
      <c r="W1470" s="310"/>
      <c r="X1470" s="310"/>
    </row>
    <row r="1471" spans="1:24" s="307" customFormat="1" ht="15" hidden="1" x14ac:dyDescent="0.2">
      <c r="A1471" s="644" t="s">
        <v>126</v>
      </c>
      <c r="B1471" s="516" t="s">
        <v>98</v>
      </c>
      <c r="C1471" s="517" t="s">
        <v>609</v>
      </c>
      <c r="D1471" s="517" t="s">
        <v>606</v>
      </c>
      <c r="E1471" s="523">
        <v>8300274330</v>
      </c>
      <c r="F1471" s="523">
        <v>622</v>
      </c>
      <c r="G1471" s="519"/>
      <c r="H1471" s="519"/>
      <c r="I1471" s="519"/>
      <c r="J1471" s="519"/>
      <c r="K1471" s="519">
        <f t="shared" si="466"/>
        <v>0</v>
      </c>
      <c r="L1471" s="519">
        <f t="shared" si="467"/>
        <v>0</v>
      </c>
      <c r="M1471" s="309"/>
      <c r="N1471" s="292"/>
      <c r="R1471" s="519">
        <v>257.39999999999998</v>
      </c>
      <c r="S1471" s="519"/>
      <c r="T1471" s="309"/>
      <c r="U1471" s="591"/>
      <c r="V1471" s="591"/>
      <c r="W1471" s="310"/>
      <c r="X1471" s="310"/>
    </row>
    <row r="1472" spans="1:24" s="307" customFormat="1" ht="15" x14ac:dyDescent="0.2">
      <c r="A1472" s="746" t="s">
        <v>1138</v>
      </c>
      <c r="B1472" s="306" t="s">
        <v>98</v>
      </c>
      <c r="C1472" s="354" t="s">
        <v>609</v>
      </c>
      <c r="D1472" s="354" t="s">
        <v>606</v>
      </c>
      <c r="E1472" s="545" t="s">
        <v>1157</v>
      </c>
      <c r="F1472" s="545"/>
      <c r="G1472" s="591">
        <f>G1473</f>
        <v>60144.379860000001</v>
      </c>
      <c r="H1472" s="591">
        <f>H1473</f>
        <v>59437.095869999997</v>
      </c>
      <c r="I1472" s="591">
        <f>I1473</f>
        <v>60144.379860000001</v>
      </c>
      <c r="J1472" s="591">
        <f>J1473</f>
        <v>59437.095869999997</v>
      </c>
      <c r="K1472" s="591">
        <f t="shared" si="466"/>
        <v>0</v>
      </c>
      <c r="L1472" s="591">
        <f t="shared" si="467"/>
        <v>0</v>
      </c>
      <c r="M1472" s="309"/>
      <c r="N1472" s="292"/>
      <c r="R1472" s="591">
        <f>R1473</f>
        <v>10112.50145</v>
      </c>
      <c r="S1472" s="591">
        <f>S1473</f>
        <v>9904.3127999999997</v>
      </c>
      <c r="T1472" s="309"/>
      <c r="U1472" s="498"/>
      <c r="V1472" s="498"/>
      <c r="W1472" s="310"/>
      <c r="X1472" s="310"/>
    </row>
    <row r="1473" spans="1:24" s="307" customFormat="1" ht="15" x14ac:dyDescent="0.2">
      <c r="A1473" s="746" t="s">
        <v>1770</v>
      </c>
      <c r="B1473" s="306" t="s">
        <v>98</v>
      </c>
      <c r="C1473" s="354" t="s">
        <v>609</v>
      </c>
      <c r="D1473" s="354" t="s">
        <v>606</v>
      </c>
      <c r="E1473" s="545" t="s">
        <v>1156</v>
      </c>
      <c r="F1473" s="545"/>
      <c r="G1473" s="591">
        <f>G1476+G1474</f>
        <v>60144.379860000001</v>
      </c>
      <c r="H1473" s="591">
        <f>H1476+H1474</f>
        <v>59437.095869999997</v>
      </c>
      <c r="I1473" s="591">
        <f>I1476+I1474</f>
        <v>60144.379860000001</v>
      </c>
      <c r="J1473" s="591">
        <f>J1476+J1474</f>
        <v>59437.095869999997</v>
      </c>
      <c r="K1473" s="591">
        <f t="shared" si="466"/>
        <v>0</v>
      </c>
      <c r="L1473" s="591">
        <f t="shared" si="467"/>
        <v>0</v>
      </c>
      <c r="M1473" s="309"/>
      <c r="N1473" s="292"/>
      <c r="R1473" s="591">
        <f>R1476+R1474</f>
        <v>10112.50145</v>
      </c>
      <c r="S1473" s="591">
        <f>S1476+S1474</f>
        <v>9904.3127999999997</v>
      </c>
      <c r="T1473" s="309"/>
      <c r="U1473" s="498"/>
      <c r="V1473" s="498"/>
      <c r="W1473" s="310"/>
      <c r="X1473" s="310"/>
    </row>
    <row r="1474" spans="1:24" s="307" customFormat="1" ht="25.5" x14ac:dyDescent="0.2">
      <c r="A1474" s="746" t="s">
        <v>1796</v>
      </c>
      <c r="B1474" s="306" t="s">
        <v>98</v>
      </c>
      <c r="C1474" s="354" t="s">
        <v>609</v>
      </c>
      <c r="D1474" s="354" t="s">
        <v>606</v>
      </c>
      <c r="E1474" s="545" t="s">
        <v>1197</v>
      </c>
      <c r="F1474" s="545"/>
      <c r="G1474" s="591">
        <f>G1475</f>
        <v>50505.050510000001</v>
      </c>
      <c r="H1474" s="591">
        <f>H1475</f>
        <v>50000</v>
      </c>
      <c r="I1474" s="591">
        <f>I1475</f>
        <v>50505.050510000001</v>
      </c>
      <c r="J1474" s="591">
        <f>J1475</f>
        <v>50000</v>
      </c>
      <c r="K1474" s="591">
        <f t="shared" si="466"/>
        <v>0</v>
      </c>
      <c r="L1474" s="591">
        <f t="shared" si="467"/>
        <v>0</v>
      </c>
      <c r="M1474" s="309"/>
      <c r="N1474" s="292"/>
      <c r="R1474" s="591">
        <f>R1475</f>
        <v>0</v>
      </c>
      <c r="S1474" s="591">
        <f>S1475</f>
        <v>0</v>
      </c>
      <c r="T1474" s="309"/>
      <c r="U1474" s="498"/>
      <c r="V1474" s="498"/>
      <c r="W1474" s="310"/>
      <c r="X1474" s="310"/>
    </row>
    <row r="1475" spans="1:24" s="307" customFormat="1" ht="15" x14ac:dyDescent="0.2">
      <c r="A1475" s="744" t="s">
        <v>164</v>
      </c>
      <c r="B1475" s="243" t="s">
        <v>98</v>
      </c>
      <c r="C1475" s="353" t="s">
        <v>609</v>
      </c>
      <c r="D1475" s="353" t="s">
        <v>606</v>
      </c>
      <c r="E1475" s="369" t="s">
        <v>1197</v>
      </c>
      <c r="F1475" s="369" t="s">
        <v>132</v>
      </c>
      <c r="G1475" s="288">
        <v>50505.050510000001</v>
      </c>
      <c r="H1475" s="288">
        <v>50000</v>
      </c>
      <c r="I1475" s="288">
        <v>50505.050510000001</v>
      </c>
      <c r="J1475" s="288">
        <v>50000</v>
      </c>
      <c r="K1475" s="591">
        <f t="shared" si="466"/>
        <v>0</v>
      </c>
      <c r="L1475" s="591">
        <f t="shared" si="467"/>
        <v>0</v>
      </c>
      <c r="M1475" s="309"/>
      <c r="N1475" s="292"/>
      <c r="R1475" s="288"/>
      <c r="S1475" s="288"/>
      <c r="T1475" s="309"/>
      <c r="U1475" s="498"/>
      <c r="V1475" s="498"/>
      <c r="W1475" s="310"/>
      <c r="X1475" s="310"/>
    </row>
    <row r="1476" spans="1:24" s="307" customFormat="1" ht="15" x14ac:dyDescent="0.2">
      <c r="A1476" s="746" t="s">
        <v>1771</v>
      </c>
      <c r="B1476" s="306" t="s">
        <v>98</v>
      </c>
      <c r="C1476" s="354" t="s">
        <v>609</v>
      </c>
      <c r="D1476" s="354" t="s">
        <v>606</v>
      </c>
      <c r="E1476" s="545" t="s">
        <v>1159</v>
      </c>
      <c r="F1476" s="545"/>
      <c r="G1476" s="591">
        <f>G1477</f>
        <v>9639.32935</v>
      </c>
      <c r="H1476" s="591">
        <f>H1477</f>
        <v>9437.0958699999992</v>
      </c>
      <c r="I1476" s="591">
        <f>I1477</f>
        <v>9639.32935</v>
      </c>
      <c r="J1476" s="591">
        <f>J1477</f>
        <v>9437.0958699999992</v>
      </c>
      <c r="K1476" s="591">
        <f t="shared" si="466"/>
        <v>0</v>
      </c>
      <c r="L1476" s="591">
        <f t="shared" si="467"/>
        <v>0</v>
      </c>
      <c r="M1476" s="309"/>
      <c r="N1476" s="292"/>
      <c r="R1476" s="591">
        <f>R1477</f>
        <v>10112.50145</v>
      </c>
      <c r="S1476" s="591">
        <f>S1477</f>
        <v>9904.3127999999997</v>
      </c>
      <c r="T1476" s="309"/>
      <c r="U1476" s="498"/>
      <c r="V1476" s="498"/>
      <c r="W1476" s="310"/>
      <c r="X1476" s="310"/>
    </row>
    <row r="1477" spans="1:24" s="307" customFormat="1" ht="15" x14ac:dyDescent="0.2">
      <c r="A1477" s="744" t="s">
        <v>164</v>
      </c>
      <c r="B1477" s="243" t="s">
        <v>98</v>
      </c>
      <c r="C1477" s="353" t="s">
        <v>609</v>
      </c>
      <c r="D1477" s="353" t="s">
        <v>606</v>
      </c>
      <c r="E1477" s="369" t="s">
        <v>1159</v>
      </c>
      <c r="F1477" s="369" t="s">
        <v>132</v>
      </c>
      <c r="G1477" s="265">
        <v>9639.32935</v>
      </c>
      <c r="H1477" s="265">
        <v>9437.0958699999992</v>
      </c>
      <c r="I1477" s="265">
        <v>9639.32935</v>
      </c>
      <c r="J1477" s="265">
        <v>9437.0958699999992</v>
      </c>
      <c r="K1477" s="265">
        <f t="shared" si="466"/>
        <v>0</v>
      </c>
      <c r="L1477" s="265">
        <f t="shared" si="467"/>
        <v>0</v>
      </c>
      <c r="M1477" s="309"/>
      <c r="N1477" s="292"/>
      <c r="R1477" s="265">
        <v>10112.50145</v>
      </c>
      <c r="S1477" s="265">
        <v>9904.3127999999997</v>
      </c>
      <c r="T1477" s="309"/>
      <c r="U1477" s="498"/>
      <c r="V1477" s="498"/>
      <c r="W1477" s="310"/>
      <c r="X1477" s="310"/>
    </row>
    <row r="1478" spans="1:24" s="307" customFormat="1" ht="15" hidden="1" x14ac:dyDescent="0.2">
      <c r="A1478" s="121" t="s">
        <v>1543</v>
      </c>
      <c r="B1478" s="306" t="s">
        <v>98</v>
      </c>
      <c r="C1478" s="354" t="s">
        <v>609</v>
      </c>
      <c r="D1478" s="509" t="s">
        <v>606</v>
      </c>
      <c r="E1478" s="495">
        <v>8900000000</v>
      </c>
      <c r="F1478" s="495"/>
      <c r="G1478" s="498">
        <f t="shared" ref="G1478:J1480" si="474">G1479</f>
        <v>0</v>
      </c>
      <c r="H1478" s="498">
        <f t="shared" si="474"/>
        <v>0</v>
      </c>
      <c r="I1478" s="591">
        <f t="shared" si="474"/>
        <v>0</v>
      </c>
      <c r="J1478" s="591">
        <f t="shared" si="474"/>
        <v>0</v>
      </c>
      <c r="K1478" s="591">
        <f t="shared" si="466"/>
        <v>0</v>
      </c>
      <c r="L1478" s="591">
        <f t="shared" si="467"/>
        <v>0</v>
      </c>
      <c r="M1478" s="309"/>
      <c r="N1478" s="292"/>
      <c r="R1478" s="591">
        <f t="shared" ref="R1478:S1480" si="475">R1479</f>
        <v>0</v>
      </c>
      <c r="S1478" s="591">
        <f t="shared" si="475"/>
        <v>0</v>
      </c>
      <c r="T1478" s="309"/>
      <c r="U1478" s="498">
        <f t="shared" ref="U1478:V1480" si="476">U1479</f>
        <v>5696.73</v>
      </c>
      <c r="V1478" s="498">
        <f t="shared" si="476"/>
        <v>5526.9674500000001</v>
      </c>
      <c r="W1478" s="310"/>
      <c r="X1478" s="310"/>
    </row>
    <row r="1479" spans="1:24" s="307" customFormat="1" ht="15" hidden="1" x14ac:dyDescent="0.2">
      <c r="A1479" s="121" t="s">
        <v>1543</v>
      </c>
      <c r="B1479" s="306" t="s">
        <v>98</v>
      </c>
      <c r="C1479" s="354" t="s">
        <v>609</v>
      </c>
      <c r="D1479" s="509" t="s">
        <v>606</v>
      </c>
      <c r="E1479" s="495">
        <v>8900500000</v>
      </c>
      <c r="F1479" s="495"/>
      <c r="G1479" s="498">
        <f t="shared" si="474"/>
        <v>0</v>
      </c>
      <c r="H1479" s="498">
        <f t="shared" si="474"/>
        <v>0</v>
      </c>
      <c r="I1479" s="591">
        <f t="shared" si="474"/>
        <v>0</v>
      </c>
      <c r="J1479" s="591">
        <f t="shared" si="474"/>
        <v>0</v>
      </c>
      <c r="K1479" s="591">
        <f t="shared" si="466"/>
        <v>0</v>
      </c>
      <c r="L1479" s="591">
        <f t="shared" si="467"/>
        <v>0</v>
      </c>
      <c r="M1479" s="309"/>
      <c r="N1479" s="292"/>
      <c r="R1479" s="591">
        <f t="shared" si="475"/>
        <v>0</v>
      </c>
      <c r="S1479" s="591">
        <f t="shared" si="475"/>
        <v>0</v>
      </c>
      <c r="T1479" s="309"/>
      <c r="U1479" s="498">
        <f t="shared" si="476"/>
        <v>5696.73</v>
      </c>
      <c r="V1479" s="498">
        <f t="shared" si="476"/>
        <v>5526.9674500000001</v>
      </c>
      <c r="W1479" s="310"/>
      <c r="X1479" s="310"/>
    </row>
    <row r="1480" spans="1:24" s="307" customFormat="1" ht="15" hidden="1" x14ac:dyDescent="0.2">
      <c r="A1480" s="121" t="s">
        <v>1543</v>
      </c>
      <c r="B1480" s="306" t="s">
        <v>98</v>
      </c>
      <c r="C1480" s="354" t="s">
        <v>609</v>
      </c>
      <c r="D1480" s="509" t="s">
        <v>606</v>
      </c>
      <c r="E1480" s="495" t="s">
        <v>1286</v>
      </c>
      <c r="F1480" s="495"/>
      <c r="G1480" s="498">
        <f t="shared" si="474"/>
        <v>0</v>
      </c>
      <c r="H1480" s="498">
        <f t="shared" si="474"/>
        <v>0</v>
      </c>
      <c r="I1480" s="591">
        <f t="shared" si="474"/>
        <v>0</v>
      </c>
      <c r="J1480" s="591">
        <f t="shared" si="474"/>
        <v>0</v>
      </c>
      <c r="K1480" s="591">
        <f t="shared" si="466"/>
        <v>0</v>
      </c>
      <c r="L1480" s="591">
        <f t="shared" si="467"/>
        <v>0</v>
      </c>
      <c r="M1480" s="309"/>
      <c r="N1480" s="292"/>
      <c r="R1480" s="591">
        <f t="shared" si="475"/>
        <v>0</v>
      </c>
      <c r="S1480" s="591">
        <f t="shared" si="475"/>
        <v>0</v>
      </c>
      <c r="T1480" s="309"/>
      <c r="U1480" s="498">
        <f t="shared" si="476"/>
        <v>5696.73</v>
      </c>
      <c r="V1480" s="498">
        <f t="shared" si="476"/>
        <v>5526.9674500000001</v>
      </c>
      <c r="W1480" s="310"/>
      <c r="X1480" s="310"/>
    </row>
    <row r="1481" spans="1:24" ht="15" hidden="1" x14ac:dyDescent="0.2">
      <c r="A1481" s="124" t="s">
        <v>1543</v>
      </c>
      <c r="B1481" s="243" t="s">
        <v>98</v>
      </c>
      <c r="C1481" s="490" t="s">
        <v>609</v>
      </c>
      <c r="D1481" s="353" t="s">
        <v>606</v>
      </c>
      <c r="E1481" s="378" t="s">
        <v>1286</v>
      </c>
      <c r="F1481" s="369">
        <v>540</v>
      </c>
      <c r="G1481" s="288"/>
      <c r="H1481" s="266"/>
      <c r="I1481" s="288"/>
      <c r="J1481" s="266"/>
      <c r="K1481" s="255">
        <f t="shared" si="466"/>
        <v>0</v>
      </c>
      <c r="L1481" s="43">
        <f t="shared" si="467"/>
        <v>0</v>
      </c>
      <c r="M1481" s="217"/>
      <c r="N1481" s="43"/>
      <c r="R1481" s="288"/>
      <c r="S1481" s="266"/>
      <c r="T1481" s="217"/>
      <c r="U1481" s="288">
        <v>5696.73</v>
      </c>
      <c r="V1481" s="266">
        <v>5526.9674500000001</v>
      </c>
      <c r="W1481" s="203"/>
      <c r="X1481" s="203"/>
    </row>
    <row r="1482" spans="1:24" ht="15" x14ac:dyDescent="0.2">
      <c r="A1482" s="746" t="s">
        <v>286</v>
      </c>
      <c r="B1482" s="306" t="s">
        <v>98</v>
      </c>
      <c r="C1482" s="354" t="s">
        <v>8</v>
      </c>
      <c r="D1482" s="354"/>
      <c r="E1482" s="450"/>
      <c r="F1482" s="450"/>
      <c r="G1482" s="591">
        <f>G1515+G1497+G1507+G1490+G1483</f>
        <v>338</v>
      </c>
      <c r="H1482" s="591">
        <f>H1515+H1497+H1507+H1490+H1483</f>
        <v>0</v>
      </c>
      <c r="I1482" s="591">
        <f>I1515+I1497+I1507+I1490+I1483</f>
        <v>338</v>
      </c>
      <c r="J1482" s="591">
        <f>J1515+J1497+J1507+J1490+J1483</f>
        <v>0</v>
      </c>
      <c r="K1482" s="591">
        <f t="shared" si="466"/>
        <v>0</v>
      </c>
      <c r="L1482" s="591">
        <f t="shared" si="467"/>
        <v>0</v>
      </c>
      <c r="M1482" s="217">
        <f>I1482-G1482-K1482</f>
        <v>0</v>
      </c>
      <c r="N1482" s="42" t="e">
        <f>N1515+N1497+N1507</f>
        <v>#REF!</v>
      </c>
      <c r="R1482" s="591">
        <f>R1515+R1497+R1507+R1490+R1483</f>
        <v>166</v>
      </c>
      <c r="S1482" s="591">
        <f>S1515+S1497+S1507+S1490+S1483</f>
        <v>0</v>
      </c>
      <c r="T1482" s="217">
        <f>I1482-G1482</f>
        <v>0</v>
      </c>
      <c r="U1482" s="498">
        <f>U1515+U1497+U1507</f>
        <v>246</v>
      </c>
      <c r="V1482" s="498">
        <f>V1515+V1497+V1507</f>
        <v>0</v>
      </c>
      <c r="W1482" s="203">
        <f t="shared" si="472"/>
        <v>0</v>
      </c>
      <c r="X1482" s="203">
        <f t="shared" si="473"/>
        <v>0</v>
      </c>
    </row>
    <row r="1483" spans="1:24" ht="15" hidden="1" x14ac:dyDescent="0.2">
      <c r="A1483" s="541" t="s">
        <v>1589</v>
      </c>
      <c r="B1483" s="306" t="s">
        <v>98</v>
      </c>
      <c r="C1483" s="354" t="s">
        <v>8</v>
      </c>
      <c r="D1483" s="354" t="s">
        <v>605</v>
      </c>
      <c r="E1483" s="542"/>
      <c r="F1483" s="542"/>
      <c r="G1483" s="498">
        <f t="shared" ref="G1483:J1484" si="477">G1484</f>
        <v>0</v>
      </c>
      <c r="H1483" s="498">
        <f t="shared" si="477"/>
        <v>0</v>
      </c>
      <c r="I1483" s="591">
        <f t="shared" si="477"/>
        <v>0</v>
      </c>
      <c r="J1483" s="591">
        <f t="shared" si="477"/>
        <v>0</v>
      </c>
      <c r="K1483" s="591">
        <f t="shared" si="466"/>
        <v>0</v>
      </c>
      <c r="L1483" s="591">
        <f t="shared" si="467"/>
        <v>0</v>
      </c>
      <c r="M1483" s="217"/>
      <c r="N1483" s="42"/>
      <c r="R1483" s="591">
        <f>R1484</f>
        <v>0</v>
      </c>
      <c r="S1483" s="591">
        <f>S1484</f>
        <v>0</v>
      </c>
      <c r="T1483" s="217"/>
      <c r="U1483" s="498"/>
      <c r="V1483" s="498"/>
      <c r="W1483" s="203"/>
      <c r="X1483" s="203"/>
    </row>
    <row r="1484" spans="1:24" ht="15" hidden="1" x14ac:dyDescent="0.2">
      <c r="A1484" s="121" t="s">
        <v>1543</v>
      </c>
      <c r="B1484" s="306" t="s">
        <v>98</v>
      </c>
      <c r="C1484" s="354" t="s">
        <v>8</v>
      </c>
      <c r="D1484" s="509" t="s">
        <v>605</v>
      </c>
      <c r="E1484" s="542">
        <v>8900000000</v>
      </c>
      <c r="F1484" s="542"/>
      <c r="G1484" s="498">
        <f t="shared" si="477"/>
        <v>0</v>
      </c>
      <c r="H1484" s="498">
        <f t="shared" si="477"/>
        <v>0</v>
      </c>
      <c r="I1484" s="591">
        <f t="shared" si="477"/>
        <v>0</v>
      </c>
      <c r="J1484" s="591">
        <f t="shared" si="477"/>
        <v>0</v>
      </c>
      <c r="K1484" s="591">
        <f t="shared" si="466"/>
        <v>0</v>
      </c>
      <c r="L1484" s="591">
        <f t="shared" si="467"/>
        <v>0</v>
      </c>
      <c r="M1484" s="217"/>
      <c r="N1484" s="42"/>
      <c r="R1484" s="591">
        <f>R1485</f>
        <v>0</v>
      </c>
      <c r="S1484" s="591">
        <f>S1485</f>
        <v>0</v>
      </c>
      <c r="T1484" s="217"/>
      <c r="U1484" s="498"/>
      <c r="V1484" s="498"/>
      <c r="W1484" s="203"/>
      <c r="X1484" s="203"/>
    </row>
    <row r="1485" spans="1:24" ht="15" hidden="1" x14ac:dyDescent="0.2">
      <c r="A1485" s="121" t="s">
        <v>1543</v>
      </c>
      <c r="B1485" s="306" t="s">
        <v>98</v>
      </c>
      <c r="C1485" s="354" t="s">
        <v>8</v>
      </c>
      <c r="D1485" s="509" t="s">
        <v>605</v>
      </c>
      <c r="E1485" s="542">
        <v>8900500000</v>
      </c>
      <c r="F1485" s="542"/>
      <c r="G1485" s="498">
        <f>G1486+G1488</f>
        <v>0</v>
      </c>
      <c r="H1485" s="498">
        <f>H1486+H1488</f>
        <v>0</v>
      </c>
      <c r="I1485" s="591">
        <f>I1486+I1488</f>
        <v>0</v>
      </c>
      <c r="J1485" s="591">
        <f>J1486+J1488</f>
        <v>0</v>
      </c>
      <c r="K1485" s="591">
        <f t="shared" si="466"/>
        <v>0</v>
      </c>
      <c r="L1485" s="591">
        <f t="shared" si="467"/>
        <v>0</v>
      </c>
      <c r="M1485" s="217"/>
      <c r="N1485" s="42"/>
      <c r="R1485" s="591">
        <f>R1486+R1488</f>
        <v>0</v>
      </c>
      <c r="S1485" s="591">
        <f>S1486+S1488</f>
        <v>0</v>
      </c>
      <c r="T1485" s="217"/>
      <c r="U1485" s="498"/>
      <c r="V1485" s="498"/>
      <c r="W1485" s="203"/>
      <c r="X1485" s="203"/>
    </row>
    <row r="1486" spans="1:24" ht="15" hidden="1" x14ac:dyDescent="0.2">
      <c r="A1486" s="121" t="s">
        <v>1543</v>
      </c>
      <c r="B1486" s="306" t="s">
        <v>98</v>
      </c>
      <c r="C1486" s="354" t="s">
        <v>8</v>
      </c>
      <c r="D1486" s="509" t="s">
        <v>605</v>
      </c>
      <c r="E1486" s="542" t="s">
        <v>1286</v>
      </c>
      <c r="F1486" s="542"/>
      <c r="G1486" s="498">
        <f>G1487</f>
        <v>0</v>
      </c>
      <c r="H1486" s="498">
        <f>H1487</f>
        <v>0</v>
      </c>
      <c r="I1486" s="591">
        <f>I1487</f>
        <v>0</v>
      </c>
      <c r="J1486" s="591">
        <f>J1487</f>
        <v>0</v>
      </c>
      <c r="K1486" s="591">
        <f t="shared" si="466"/>
        <v>0</v>
      </c>
      <c r="L1486" s="591">
        <f t="shared" si="467"/>
        <v>0</v>
      </c>
      <c r="M1486" s="217"/>
      <c r="N1486" s="42"/>
      <c r="R1486" s="591">
        <f>R1487</f>
        <v>0</v>
      </c>
      <c r="S1486" s="591">
        <f>S1487</f>
        <v>0</v>
      </c>
      <c r="T1486" s="217"/>
      <c r="U1486" s="498"/>
      <c r="V1486" s="498"/>
      <c r="W1486" s="203"/>
      <c r="X1486" s="203"/>
    </row>
    <row r="1487" spans="1:24" ht="15" hidden="1" x14ac:dyDescent="0.2">
      <c r="A1487" s="124" t="s">
        <v>1543</v>
      </c>
      <c r="B1487" s="243" t="s">
        <v>98</v>
      </c>
      <c r="C1487" s="490" t="s">
        <v>8</v>
      </c>
      <c r="D1487" s="353" t="s">
        <v>605</v>
      </c>
      <c r="E1487" s="378" t="s">
        <v>1286</v>
      </c>
      <c r="F1487" s="369">
        <v>414</v>
      </c>
      <c r="G1487" s="288">
        <v>0</v>
      </c>
      <c r="H1487" s="266">
        <v>0</v>
      </c>
      <c r="I1487" s="288">
        <v>0</v>
      </c>
      <c r="J1487" s="266">
        <v>0</v>
      </c>
      <c r="K1487" s="288">
        <f t="shared" si="466"/>
        <v>0</v>
      </c>
      <c r="L1487" s="288">
        <f t="shared" si="467"/>
        <v>0</v>
      </c>
      <c r="M1487" s="217" t="e">
        <f>H1487/G1487*100</f>
        <v>#DIV/0!</v>
      </c>
      <c r="N1487" s="42"/>
      <c r="P1487" s="166">
        <f>G1487+G1494</f>
        <v>0</v>
      </c>
      <c r="Q1487" s="167">
        <f>P1487/P1489*100</f>
        <v>0</v>
      </c>
      <c r="R1487" s="288">
        <v>0</v>
      </c>
      <c r="S1487" s="266">
        <v>0</v>
      </c>
      <c r="T1487" s="217"/>
      <c r="U1487" s="498"/>
      <c r="V1487" s="498"/>
      <c r="W1487" s="203"/>
      <c r="X1487" s="203"/>
    </row>
    <row r="1488" spans="1:24" ht="15" hidden="1" x14ac:dyDescent="0.2">
      <c r="A1488" s="121" t="s">
        <v>1543</v>
      </c>
      <c r="B1488" s="306" t="s">
        <v>98</v>
      </c>
      <c r="C1488" s="354" t="s">
        <v>8</v>
      </c>
      <c r="D1488" s="509" t="s">
        <v>605</v>
      </c>
      <c r="E1488" s="545" t="s">
        <v>1455</v>
      </c>
      <c r="F1488" s="390"/>
      <c r="G1488" s="391">
        <f>G1489</f>
        <v>0</v>
      </c>
      <c r="H1488" s="391">
        <f>-H1489</f>
        <v>0</v>
      </c>
      <c r="I1488" s="391">
        <f>I1489</f>
        <v>0</v>
      </c>
      <c r="J1488" s="391">
        <f>-J1489</f>
        <v>0</v>
      </c>
      <c r="K1488" s="391">
        <f t="shared" si="466"/>
        <v>0</v>
      </c>
      <c r="L1488" s="391">
        <f t="shared" si="467"/>
        <v>0</v>
      </c>
      <c r="M1488" s="217"/>
      <c r="N1488" s="42"/>
      <c r="P1488" s="167">
        <v>3575.7</v>
      </c>
      <c r="Q1488" s="167">
        <f>P1488/P1489*100</f>
        <v>100</v>
      </c>
      <c r="R1488" s="391">
        <f>R1489</f>
        <v>0</v>
      </c>
      <c r="S1488" s="391">
        <f>-S1489</f>
        <v>0</v>
      </c>
      <c r="T1488" s="217"/>
      <c r="U1488" s="498"/>
      <c r="V1488" s="498"/>
      <c r="W1488" s="203"/>
      <c r="X1488" s="203"/>
    </row>
    <row r="1489" spans="1:24" ht="15" hidden="1" x14ac:dyDescent="0.2">
      <c r="A1489" s="124" t="s">
        <v>1543</v>
      </c>
      <c r="B1489" s="243" t="s">
        <v>98</v>
      </c>
      <c r="C1489" s="490" t="s">
        <v>8</v>
      </c>
      <c r="D1489" s="353" t="s">
        <v>605</v>
      </c>
      <c r="E1489" s="378" t="s">
        <v>1455</v>
      </c>
      <c r="F1489" s="369">
        <v>414</v>
      </c>
      <c r="G1489" s="288">
        <v>0</v>
      </c>
      <c r="H1489" s="266"/>
      <c r="I1489" s="288">
        <v>0</v>
      </c>
      <c r="J1489" s="266"/>
      <c r="K1489" s="43">
        <f t="shared" si="466"/>
        <v>0</v>
      </c>
      <c r="L1489" s="43">
        <f t="shared" si="467"/>
        <v>0</v>
      </c>
      <c r="M1489" s="217"/>
      <c r="N1489" s="42"/>
      <c r="P1489" s="166">
        <f>P1488+P1487</f>
        <v>3575.7</v>
      </c>
      <c r="R1489" s="288">
        <v>0</v>
      </c>
      <c r="S1489" s="266"/>
      <c r="T1489" s="217"/>
      <c r="U1489" s="498"/>
      <c r="V1489" s="498"/>
      <c r="W1489" s="203"/>
      <c r="X1489" s="203"/>
    </row>
    <row r="1490" spans="1:24" ht="15" hidden="1" x14ac:dyDescent="0.2">
      <c r="A1490" s="121" t="s">
        <v>1543</v>
      </c>
      <c r="B1490" s="388" t="s">
        <v>98</v>
      </c>
      <c r="C1490" s="543" t="s">
        <v>8</v>
      </c>
      <c r="D1490" s="389" t="s">
        <v>614</v>
      </c>
      <c r="E1490" s="377"/>
      <c r="F1490" s="390"/>
      <c r="G1490" s="391">
        <f t="shared" ref="G1490:J1491" si="478">G1491</f>
        <v>0</v>
      </c>
      <c r="H1490" s="391">
        <f t="shared" si="478"/>
        <v>0</v>
      </c>
      <c r="I1490" s="391">
        <f t="shared" si="478"/>
        <v>0</v>
      </c>
      <c r="J1490" s="391">
        <f t="shared" si="478"/>
        <v>0</v>
      </c>
      <c r="K1490" s="391">
        <f t="shared" si="466"/>
        <v>0</v>
      </c>
      <c r="L1490" s="391">
        <f t="shared" si="467"/>
        <v>0</v>
      </c>
      <c r="M1490" s="217"/>
      <c r="N1490" s="42"/>
      <c r="R1490" s="391">
        <f>R1491</f>
        <v>0</v>
      </c>
      <c r="S1490" s="391">
        <f>S1491</f>
        <v>0</v>
      </c>
      <c r="T1490" s="217"/>
      <c r="U1490" s="498"/>
      <c r="V1490" s="498"/>
      <c r="W1490" s="203"/>
      <c r="X1490" s="203"/>
    </row>
    <row r="1491" spans="1:24" ht="15" hidden="1" x14ac:dyDescent="0.2">
      <c r="A1491" s="121" t="s">
        <v>1543</v>
      </c>
      <c r="B1491" s="306" t="s">
        <v>98</v>
      </c>
      <c r="C1491" s="354" t="s">
        <v>8</v>
      </c>
      <c r="D1491" s="509" t="s">
        <v>614</v>
      </c>
      <c r="E1491" s="542">
        <v>8900000000</v>
      </c>
      <c r="F1491" s="542"/>
      <c r="G1491" s="498">
        <f t="shared" si="478"/>
        <v>0</v>
      </c>
      <c r="H1491" s="498">
        <f t="shared" si="478"/>
        <v>0</v>
      </c>
      <c r="I1491" s="591">
        <f t="shared" si="478"/>
        <v>0</v>
      </c>
      <c r="J1491" s="591">
        <f t="shared" si="478"/>
        <v>0</v>
      </c>
      <c r="K1491" s="591">
        <f t="shared" si="466"/>
        <v>0</v>
      </c>
      <c r="L1491" s="591">
        <f t="shared" si="467"/>
        <v>0</v>
      </c>
      <c r="M1491" s="217"/>
      <c r="N1491" s="42"/>
      <c r="R1491" s="591">
        <f>R1492</f>
        <v>0</v>
      </c>
      <c r="S1491" s="591">
        <f>S1492</f>
        <v>0</v>
      </c>
      <c r="T1491" s="217"/>
      <c r="U1491" s="498"/>
      <c r="V1491" s="498"/>
      <c r="W1491" s="203"/>
      <c r="X1491" s="203"/>
    </row>
    <row r="1492" spans="1:24" ht="15" hidden="1" x14ac:dyDescent="0.2">
      <c r="A1492" s="121" t="s">
        <v>1543</v>
      </c>
      <c r="B1492" s="306" t="s">
        <v>98</v>
      </c>
      <c r="C1492" s="354" t="s">
        <v>8</v>
      </c>
      <c r="D1492" s="509" t="s">
        <v>614</v>
      </c>
      <c r="E1492" s="542">
        <v>8900500000</v>
      </c>
      <c r="F1492" s="542"/>
      <c r="G1492" s="498">
        <f>G1493+G1495</f>
        <v>0</v>
      </c>
      <c r="H1492" s="498">
        <f>H1493+H1495</f>
        <v>0</v>
      </c>
      <c r="I1492" s="591">
        <f>I1493+I1495</f>
        <v>0</v>
      </c>
      <c r="J1492" s="591">
        <f>J1493+J1495</f>
        <v>0</v>
      </c>
      <c r="K1492" s="591">
        <f t="shared" si="466"/>
        <v>0</v>
      </c>
      <c r="L1492" s="591">
        <f t="shared" si="467"/>
        <v>0</v>
      </c>
      <c r="M1492" s="217"/>
      <c r="N1492" s="42"/>
      <c r="R1492" s="591">
        <f>R1493+R1495</f>
        <v>0</v>
      </c>
      <c r="S1492" s="591">
        <f>S1493+S1495</f>
        <v>0</v>
      </c>
      <c r="T1492" s="217"/>
      <c r="U1492" s="498"/>
      <c r="V1492" s="498"/>
      <c r="W1492" s="203"/>
      <c r="X1492" s="203"/>
    </row>
    <row r="1493" spans="1:24" ht="15" hidden="1" x14ac:dyDescent="0.2">
      <c r="A1493" s="121" t="s">
        <v>1543</v>
      </c>
      <c r="B1493" s="306" t="s">
        <v>98</v>
      </c>
      <c r="C1493" s="354" t="s">
        <v>8</v>
      </c>
      <c r="D1493" s="509" t="s">
        <v>614</v>
      </c>
      <c r="E1493" s="542" t="s">
        <v>1286</v>
      </c>
      <c r="F1493" s="542"/>
      <c r="G1493" s="498">
        <f>G1494</f>
        <v>0</v>
      </c>
      <c r="H1493" s="498">
        <f>H1494</f>
        <v>0</v>
      </c>
      <c r="I1493" s="591">
        <f>I1494</f>
        <v>0</v>
      </c>
      <c r="J1493" s="591">
        <f>J1494</f>
        <v>0</v>
      </c>
      <c r="K1493" s="591">
        <f t="shared" si="466"/>
        <v>0</v>
      </c>
      <c r="L1493" s="591">
        <f t="shared" si="467"/>
        <v>0</v>
      </c>
      <c r="M1493" s="217"/>
      <c r="N1493" s="42"/>
      <c r="R1493" s="591">
        <f>R1494</f>
        <v>0</v>
      </c>
      <c r="S1493" s="591">
        <f>S1494</f>
        <v>0</v>
      </c>
      <c r="T1493" s="217"/>
      <c r="U1493" s="498"/>
      <c r="V1493" s="498"/>
      <c r="W1493" s="203"/>
      <c r="X1493" s="203"/>
    </row>
    <row r="1494" spans="1:24" ht="15" hidden="1" x14ac:dyDescent="0.2">
      <c r="A1494" s="124" t="s">
        <v>1543</v>
      </c>
      <c r="B1494" s="243" t="s">
        <v>98</v>
      </c>
      <c r="C1494" s="490" t="s">
        <v>8</v>
      </c>
      <c r="D1494" s="353" t="s">
        <v>614</v>
      </c>
      <c r="E1494" s="378" t="s">
        <v>1286</v>
      </c>
      <c r="F1494" s="369">
        <v>414</v>
      </c>
      <c r="G1494" s="288">
        <v>0</v>
      </c>
      <c r="H1494" s="266">
        <v>0</v>
      </c>
      <c r="I1494" s="288">
        <v>0</v>
      </c>
      <c r="J1494" s="266">
        <v>0</v>
      </c>
      <c r="K1494" s="43">
        <f t="shared" si="466"/>
        <v>0</v>
      </c>
      <c r="L1494" s="43">
        <f t="shared" si="467"/>
        <v>0</v>
      </c>
      <c r="M1494" s="217" t="e">
        <f>H1494/G1494*100</f>
        <v>#DIV/0!</v>
      </c>
      <c r="N1494" s="42"/>
      <c r="R1494" s="288">
        <v>0</v>
      </c>
      <c r="S1494" s="266">
        <v>0</v>
      </c>
      <c r="T1494" s="217"/>
      <c r="U1494" s="498"/>
      <c r="V1494" s="498"/>
      <c r="W1494" s="203"/>
      <c r="X1494" s="203"/>
    </row>
    <row r="1495" spans="1:24" ht="15" hidden="1" x14ac:dyDescent="0.2">
      <c r="A1495" s="121" t="s">
        <v>1543</v>
      </c>
      <c r="B1495" s="388" t="s">
        <v>98</v>
      </c>
      <c r="C1495" s="544" t="s">
        <v>8</v>
      </c>
      <c r="D1495" s="389" t="s">
        <v>614</v>
      </c>
      <c r="E1495" s="377" t="s">
        <v>1455</v>
      </c>
      <c r="F1495" s="390"/>
      <c r="G1495" s="391">
        <f>G1496</f>
        <v>0</v>
      </c>
      <c r="H1495" s="391">
        <f>H1496</f>
        <v>0</v>
      </c>
      <c r="I1495" s="391">
        <f>I1496</f>
        <v>0</v>
      </c>
      <c r="J1495" s="391">
        <f>J1496</f>
        <v>0</v>
      </c>
      <c r="K1495" s="391">
        <f t="shared" si="466"/>
        <v>0</v>
      </c>
      <c r="L1495" s="391">
        <f t="shared" si="467"/>
        <v>0</v>
      </c>
      <c r="M1495" s="217"/>
      <c r="N1495" s="42"/>
      <c r="R1495" s="391">
        <f>R1496</f>
        <v>0</v>
      </c>
      <c r="S1495" s="391">
        <f>S1496</f>
        <v>0</v>
      </c>
      <c r="T1495" s="217"/>
      <c r="U1495" s="498"/>
      <c r="V1495" s="498"/>
      <c r="W1495" s="203"/>
      <c r="X1495" s="203"/>
    </row>
    <row r="1496" spans="1:24" ht="15" hidden="1" x14ac:dyDescent="0.2">
      <c r="A1496" s="124" t="s">
        <v>1543</v>
      </c>
      <c r="B1496" s="243" t="s">
        <v>98</v>
      </c>
      <c r="C1496" s="490" t="s">
        <v>8</v>
      </c>
      <c r="D1496" s="353" t="s">
        <v>614</v>
      </c>
      <c r="E1496" s="378" t="s">
        <v>1455</v>
      </c>
      <c r="F1496" s="369">
        <v>414</v>
      </c>
      <c r="G1496" s="288">
        <v>0</v>
      </c>
      <c r="H1496" s="266"/>
      <c r="I1496" s="288">
        <v>0</v>
      </c>
      <c r="J1496" s="266"/>
      <c r="K1496" s="43">
        <f t="shared" si="466"/>
        <v>0</v>
      </c>
      <c r="L1496" s="43">
        <f t="shared" si="467"/>
        <v>0</v>
      </c>
      <c r="M1496" s="217"/>
      <c r="N1496" s="42"/>
      <c r="R1496" s="288">
        <v>0</v>
      </c>
      <c r="S1496" s="266"/>
      <c r="T1496" s="217"/>
      <c r="U1496" s="498"/>
      <c r="V1496" s="498"/>
      <c r="W1496" s="203"/>
      <c r="X1496" s="203"/>
    </row>
    <row r="1497" spans="1:24" ht="15" x14ac:dyDescent="0.2">
      <c r="A1497" s="746" t="s">
        <v>225</v>
      </c>
      <c r="B1497" s="306" t="s">
        <v>98</v>
      </c>
      <c r="C1497" s="354" t="s">
        <v>8</v>
      </c>
      <c r="D1497" s="354" t="s">
        <v>609</v>
      </c>
      <c r="E1497" s="450"/>
      <c r="F1497" s="450"/>
      <c r="G1497" s="591">
        <f t="shared" ref="G1497:L1497" si="479">G1498+G1502</f>
        <v>338</v>
      </c>
      <c r="H1497" s="591">
        <f t="shared" si="479"/>
        <v>0</v>
      </c>
      <c r="I1497" s="591">
        <f t="shared" si="479"/>
        <v>338</v>
      </c>
      <c r="J1497" s="591">
        <f t="shared" si="479"/>
        <v>0</v>
      </c>
      <c r="K1497" s="591">
        <f t="shared" si="479"/>
        <v>0</v>
      </c>
      <c r="L1497" s="591">
        <f t="shared" si="479"/>
        <v>0</v>
      </c>
      <c r="M1497" s="217">
        <f t="shared" ref="M1497:M1517" si="480">I1497-G1497-K1497</f>
        <v>0</v>
      </c>
      <c r="N1497" s="42">
        <f>N1503</f>
        <v>0</v>
      </c>
      <c r="R1497" s="591">
        <f>R1502</f>
        <v>166</v>
      </c>
      <c r="S1497" s="591">
        <f>S1502</f>
        <v>0</v>
      </c>
      <c r="T1497" s="217">
        <f t="shared" ref="T1497:T1512" si="481">I1497-G1497</f>
        <v>0</v>
      </c>
      <c r="U1497" s="498">
        <f>U1502</f>
        <v>246</v>
      </c>
      <c r="V1497" s="498">
        <f>V1502</f>
        <v>0</v>
      </c>
      <c r="W1497" s="203">
        <f t="shared" si="472"/>
        <v>0</v>
      </c>
      <c r="X1497" s="203">
        <f t="shared" si="473"/>
        <v>0</v>
      </c>
    </row>
    <row r="1498" spans="1:24" ht="25.5" x14ac:dyDescent="0.2">
      <c r="A1498" s="746" t="s">
        <v>1947</v>
      </c>
      <c r="B1498" s="306" t="s">
        <v>98</v>
      </c>
      <c r="C1498" s="354" t="s">
        <v>8</v>
      </c>
      <c r="D1498" s="354" t="s">
        <v>609</v>
      </c>
      <c r="E1498" s="697" t="s">
        <v>1950</v>
      </c>
      <c r="F1498" s="691"/>
      <c r="G1498" s="591">
        <f>G1499</f>
        <v>338</v>
      </c>
      <c r="H1498" s="591">
        <f t="shared" ref="H1498:L1500" si="482">H1499</f>
        <v>0</v>
      </c>
      <c r="I1498" s="591">
        <f t="shared" si="482"/>
        <v>338</v>
      </c>
      <c r="J1498" s="591">
        <f t="shared" si="482"/>
        <v>0</v>
      </c>
      <c r="K1498" s="591">
        <f t="shared" si="482"/>
        <v>0</v>
      </c>
      <c r="L1498" s="591">
        <f t="shared" si="482"/>
        <v>0</v>
      </c>
      <c r="M1498" s="217"/>
      <c r="N1498" s="42"/>
      <c r="R1498" s="591"/>
      <c r="S1498" s="591"/>
      <c r="T1498" s="217"/>
      <c r="U1498" s="591"/>
      <c r="V1498" s="591"/>
      <c r="W1498" s="203"/>
      <c r="X1498" s="203"/>
    </row>
    <row r="1499" spans="1:24" ht="15" x14ac:dyDescent="0.2">
      <c r="A1499" s="746" t="s">
        <v>1948</v>
      </c>
      <c r="B1499" s="306" t="s">
        <v>98</v>
      </c>
      <c r="C1499" s="354" t="s">
        <v>8</v>
      </c>
      <c r="D1499" s="354" t="s">
        <v>609</v>
      </c>
      <c r="E1499" s="697" t="s">
        <v>1951</v>
      </c>
      <c r="F1499" s="691"/>
      <c r="G1499" s="591">
        <f>G1500</f>
        <v>338</v>
      </c>
      <c r="H1499" s="591">
        <f t="shared" si="482"/>
        <v>0</v>
      </c>
      <c r="I1499" s="591">
        <f t="shared" si="482"/>
        <v>338</v>
      </c>
      <c r="J1499" s="591">
        <f t="shared" si="482"/>
        <v>0</v>
      </c>
      <c r="K1499" s="591">
        <f t="shared" si="482"/>
        <v>0</v>
      </c>
      <c r="L1499" s="591">
        <f t="shared" si="482"/>
        <v>0</v>
      </c>
      <c r="M1499" s="217"/>
      <c r="N1499" s="42"/>
      <c r="R1499" s="591"/>
      <c r="S1499" s="591"/>
      <c r="T1499" s="217"/>
      <c r="U1499" s="591"/>
      <c r="V1499" s="591"/>
      <c r="W1499" s="203"/>
      <c r="X1499" s="203"/>
    </row>
    <row r="1500" spans="1:24" ht="25.5" x14ac:dyDescent="0.2">
      <c r="A1500" s="746" t="s">
        <v>1949</v>
      </c>
      <c r="B1500" s="306" t="s">
        <v>98</v>
      </c>
      <c r="C1500" s="354" t="s">
        <v>8</v>
      </c>
      <c r="D1500" s="354" t="s">
        <v>609</v>
      </c>
      <c r="E1500" s="697" t="s">
        <v>1952</v>
      </c>
      <c r="F1500" s="691"/>
      <c r="G1500" s="591">
        <f>G1501</f>
        <v>338</v>
      </c>
      <c r="H1500" s="591">
        <f t="shared" si="482"/>
        <v>0</v>
      </c>
      <c r="I1500" s="591">
        <f t="shared" si="482"/>
        <v>338</v>
      </c>
      <c r="J1500" s="591">
        <f t="shared" si="482"/>
        <v>0</v>
      </c>
      <c r="K1500" s="591">
        <f t="shared" si="482"/>
        <v>0</v>
      </c>
      <c r="L1500" s="591">
        <f t="shared" si="482"/>
        <v>0</v>
      </c>
      <c r="M1500" s="217"/>
      <c r="N1500" s="42"/>
      <c r="R1500" s="591"/>
      <c r="S1500" s="591"/>
      <c r="T1500" s="217"/>
      <c r="U1500" s="591"/>
      <c r="V1500" s="591"/>
      <c r="W1500" s="203"/>
      <c r="X1500" s="203"/>
    </row>
    <row r="1501" spans="1:24" ht="15" x14ac:dyDescent="0.2">
      <c r="A1501" s="748" t="s">
        <v>834</v>
      </c>
      <c r="B1501" s="692" t="s">
        <v>98</v>
      </c>
      <c r="C1501" s="693" t="s">
        <v>8</v>
      </c>
      <c r="D1501" s="693" t="s">
        <v>609</v>
      </c>
      <c r="E1501" s="695" t="s">
        <v>1952</v>
      </c>
      <c r="F1501" s="695">
        <v>244</v>
      </c>
      <c r="G1501" s="696">
        <v>338</v>
      </c>
      <c r="H1501" s="696"/>
      <c r="I1501" s="696">
        <v>338</v>
      </c>
      <c r="J1501" s="696"/>
      <c r="K1501" s="43">
        <f>I1501-G1501</f>
        <v>0</v>
      </c>
      <c r="L1501" s="43">
        <f>J1501-H1501</f>
        <v>0</v>
      </c>
      <c r="M1501" s="217"/>
      <c r="N1501" s="42"/>
      <c r="R1501" s="591"/>
      <c r="S1501" s="591"/>
      <c r="T1501" s="217"/>
      <c r="U1501" s="591"/>
      <c r="V1501" s="591"/>
      <c r="W1501" s="203"/>
      <c r="X1501" s="203"/>
    </row>
    <row r="1502" spans="1:24" ht="15" hidden="1" x14ac:dyDescent="0.2">
      <c r="A1502" s="626" t="s">
        <v>65</v>
      </c>
      <c r="B1502" s="306" t="s">
        <v>98</v>
      </c>
      <c r="C1502" s="354" t="s">
        <v>8</v>
      </c>
      <c r="D1502" s="354" t="s">
        <v>609</v>
      </c>
      <c r="E1502" s="450" t="s">
        <v>312</v>
      </c>
      <c r="F1502" s="450"/>
      <c r="G1502" s="498">
        <f>G1503+G1505</f>
        <v>0</v>
      </c>
      <c r="H1502" s="498">
        <f>H1503+H1505</f>
        <v>0</v>
      </c>
      <c r="I1502" s="591">
        <f>I1503+I1505</f>
        <v>0</v>
      </c>
      <c r="J1502" s="591">
        <f>J1503+J1505</f>
        <v>0</v>
      </c>
      <c r="K1502" s="591">
        <f t="shared" si="466"/>
        <v>0</v>
      </c>
      <c r="L1502" s="591">
        <f t="shared" si="467"/>
        <v>0</v>
      </c>
      <c r="M1502" s="217">
        <f t="shared" si="480"/>
        <v>0</v>
      </c>
      <c r="N1502" s="42"/>
      <c r="R1502" s="591">
        <f>R1503+R1505</f>
        <v>166</v>
      </c>
      <c r="S1502" s="591">
        <f>S1503+S1505</f>
        <v>0</v>
      </c>
      <c r="T1502" s="217">
        <f t="shared" si="481"/>
        <v>0</v>
      </c>
      <c r="U1502" s="498">
        <f>U1503+U1505</f>
        <v>246</v>
      </c>
      <c r="V1502" s="498">
        <f>V1503+V1505</f>
        <v>0</v>
      </c>
      <c r="W1502" s="203">
        <f t="shared" si="472"/>
        <v>0</v>
      </c>
      <c r="X1502" s="203">
        <f t="shared" si="473"/>
        <v>0</v>
      </c>
    </row>
    <row r="1503" spans="1:24" ht="25.5" hidden="1" x14ac:dyDescent="0.2">
      <c r="A1503" s="626" t="s">
        <v>1772</v>
      </c>
      <c r="B1503" s="306" t="s">
        <v>98</v>
      </c>
      <c r="C1503" s="354" t="s">
        <v>8</v>
      </c>
      <c r="D1503" s="354" t="s">
        <v>609</v>
      </c>
      <c r="E1503" s="697" t="s">
        <v>760</v>
      </c>
      <c r="F1503" s="450"/>
      <c r="G1503" s="498">
        <f>G1504</f>
        <v>0</v>
      </c>
      <c r="H1503" s="498">
        <f>H1504</f>
        <v>0</v>
      </c>
      <c r="I1503" s="591">
        <f>I1504</f>
        <v>0</v>
      </c>
      <c r="J1503" s="591">
        <f>J1504</f>
        <v>0</v>
      </c>
      <c r="K1503" s="591">
        <f t="shared" si="466"/>
        <v>0</v>
      </c>
      <c r="L1503" s="591">
        <f t="shared" si="467"/>
        <v>0</v>
      </c>
      <c r="M1503" s="217">
        <f t="shared" si="480"/>
        <v>0</v>
      </c>
      <c r="N1503" s="42">
        <f>N1504</f>
        <v>0</v>
      </c>
      <c r="R1503" s="591">
        <f>R1504</f>
        <v>166</v>
      </c>
      <c r="S1503" s="591">
        <f>S1504</f>
        <v>0</v>
      </c>
      <c r="T1503" s="217">
        <f t="shared" si="481"/>
        <v>0</v>
      </c>
      <c r="U1503" s="498">
        <f>U1504</f>
        <v>246</v>
      </c>
      <c r="V1503" s="498">
        <f>V1504</f>
        <v>0</v>
      </c>
      <c r="W1503" s="203">
        <f t="shared" si="472"/>
        <v>0</v>
      </c>
      <c r="X1503" s="203">
        <f t="shared" si="473"/>
        <v>0</v>
      </c>
    </row>
    <row r="1504" spans="1:24" ht="15" hidden="1" x14ac:dyDescent="0.2">
      <c r="A1504" s="186" t="s">
        <v>834</v>
      </c>
      <c r="B1504" s="243" t="s">
        <v>98</v>
      </c>
      <c r="C1504" s="353" t="s">
        <v>8</v>
      </c>
      <c r="D1504" s="353" t="s">
        <v>609</v>
      </c>
      <c r="E1504" s="369" t="s">
        <v>760</v>
      </c>
      <c r="F1504" s="369" t="s">
        <v>634</v>
      </c>
      <c r="G1504" s="288">
        <v>0</v>
      </c>
      <c r="H1504" s="288"/>
      <c r="I1504" s="288">
        <v>0</v>
      </c>
      <c r="J1504" s="288"/>
      <c r="K1504" s="43">
        <f t="shared" si="466"/>
        <v>0</v>
      </c>
      <c r="L1504" s="43">
        <f t="shared" si="467"/>
        <v>0</v>
      </c>
      <c r="M1504" s="217">
        <f t="shared" si="480"/>
        <v>0</v>
      </c>
      <c r="N1504" s="43"/>
      <c r="R1504" s="288">
        <v>166</v>
      </c>
      <c r="S1504" s="288">
        <v>0</v>
      </c>
      <c r="T1504" s="217">
        <f t="shared" si="481"/>
        <v>0</v>
      </c>
      <c r="U1504" s="288">
        <v>246</v>
      </c>
      <c r="V1504" s="288">
        <v>0</v>
      </c>
      <c r="W1504" s="203">
        <f t="shared" si="472"/>
        <v>0</v>
      </c>
      <c r="X1504" s="203">
        <f t="shared" si="473"/>
        <v>0</v>
      </c>
    </row>
    <row r="1505" spans="1:24" ht="41.25" hidden="1" customHeight="1" x14ac:dyDescent="0.2">
      <c r="A1505" s="451" t="s">
        <v>1543</v>
      </c>
      <c r="B1505" s="306" t="s">
        <v>98</v>
      </c>
      <c r="C1505" s="354" t="s">
        <v>8</v>
      </c>
      <c r="D1505" s="354" t="s">
        <v>609</v>
      </c>
      <c r="E1505" s="450" t="s">
        <v>768</v>
      </c>
      <c r="F1505" s="450"/>
      <c r="G1505" s="498">
        <f>G1506</f>
        <v>0</v>
      </c>
      <c r="H1505" s="498">
        <f>H1506</f>
        <v>0</v>
      </c>
      <c r="I1505" s="591">
        <f>I1506</f>
        <v>0</v>
      </c>
      <c r="J1505" s="591">
        <f>J1506</f>
        <v>0</v>
      </c>
      <c r="K1505" s="591">
        <f t="shared" si="466"/>
        <v>0</v>
      </c>
      <c r="L1505" s="591">
        <f t="shared" si="467"/>
        <v>0</v>
      </c>
      <c r="M1505" s="217">
        <f t="shared" si="480"/>
        <v>0</v>
      </c>
      <c r="N1505" s="43"/>
      <c r="R1505" s="591">
        <f>R1506</f>
        <v>0</v>
      </c>
      <c r="S1505" s="591">
        <f>S1506</f>
        <v>0</v>
      </c>
      <c r="T1505" s="217">
        <f t="shared" si="481"/>
        <v>0</v>
      </c>
      <c r="U1505" s="498">
        <f>U1506</f>
        <v>0</v>
      </c>
      <c r="V1505" s="498">
        <f>V1506</f>
        <v>0</v>
      </c>
      <c r="W1505" s="203">
        <f t="shared" si="472"/>
        <v>0</v>
      </c>
      <c r="X1505" s="203">
        <f t="shared" si="473"/>
        <v>0</v>
      </c>
    </row>
    <row r="1506" spans="1:24" ht="27.75" hidden="1" customHeight="1" x14ac:dyDescent="0.2">
      <c r="A1506" s="124" t="s">
        <v>1543</v>
      </c>
      <c r="B1506" s="243" t="s">
        <v>98</v>
      </c>
      <c r="C1506" s="353" t="s">
        <v>8</v>
      </c>
      <c r="D1506" s="353" t="s">
        <v>609</v>
      </c>
      <c r="E1506" s="369" t="s">
        <v>768</v>
      </c>
      <c r="F1506" s="369" t="s">
        <v>634</v>
      </c>
      <c r="G1506" s="288">
        <v>0</v>
      </c>
      <c r="H1506" s="288"/>
      <c r="I1506" s="288">
        <v>0</v>
      </c>
      <c r="J1506" s="288"/>
      <c r="K1506" s="43">
        <f t="shared" si="466"/>
        <v>0</v>
      </c>
      <c r="L1506" s="43">
        <f t="shared" si="467"/>
        <v>0</v>
      </c>
      <c r="M1506" s="217">
        <f t="shared" si="480"/>
        <v>0</v>
      </c>
      <c r="N1506" s="43"/>
      <c r="R1506" s="288">
        <v>0</v>
      </c>
      <c r="S1506" s="288"/>
      <c r="T1506" s="217">
        <f t="shared" si="481"/>
        <v>0</v>
      </c>
      <c r="U1506" s="288">
        <v>0</v>
      </c>
      <c r="V1506" s="288"/>
      <c r="W1506" s="203">
        <f t="shared" si="472"/>
        <v>0</v>
      </c>
      <c r="X1506" s="203">
        <f t="shared" si="473"/>
        <v>0</v>
      </c>
    </row>
    <row r="1507" spans="1:24" ht="12.75" hidden="1" customHeight="1" x14ac:dyDescent="0.2">
      <c r="A1507" s="451" t="s">
        <v>1543</v>
      </c>
      <c r="B1507" s="306" t="s">
        <v>98</v>
      </c>
      <c r="C1507" s="354" t="s">
        <v>8</v>
      </c>
      <c r="D1507" s="354" t="s">
        <v>8</v>
      </c>
      <c r="E1507" s="450"/>
      <c r="F1507" s="450"/>
      <c r="G1507" s="498">
        <f t="shared" ref="G1507:J1510" si="483">G1508</f>
        <v>0</v>
      </c>
      <c r="H1507" s="498">
        <f t="shared" si="483"/>
        <v>0</v>
      </c>
      <c r="I1507" s="591">
        <f t="shared" si="483"/>
        <v>0</v>
      </c>
      <c r="J1507" s="591">
        <f t="shared" si="483"/>
        <v>0</v>
      </c>
      <c r="K1507" s="591">
        <f t="shared" si="466"/>
        <v>0</v>
      </c>
      <c r="L1507" s="591">
        <f t="shared" si="467"/>
        <v>0</v>
      </c>
      <c r="M1507" s="217">
        <f t="shared" si="480"/>
        <v>0</v>
      </c>
      <c r="N1507" s="170">
        <f>N1508</f>
        <v>100</v>
      </c>
      <c r="R1507" s="591">
        <f t="shared" ref="R1507:S1510" si="484">R1508</f>
        <v>0</v>
      </c>
      <c r="S1507" s="591">
        <f t="shared" si="484"/>
        <v>0</v>
      </c>
      <c r="T1507" s="217">
        <f t="shared" si="481"/>
        <v>0</v>
      </c>
      <c r="U1507" s="498">
        <f t="shared" ref="U1507:V1510" si="485">U1508</f>
        <v>0</v>
      </c>
      <c r="V1507" s="498">
        <f t="shared" si="485"/>
        <v>0</v>
      </c>
      <c r="W1507" s="203">
        <f t="shared" si="472"/>
        <v>0</v>
      </c>
      <c r="X1507" s="203">
        <f t="shared" si="473"/>
        <v>0</v>
      </c>
    </row>
    <row r="1508" spans="1:24" ht="12.75" hidden="1" customHeight="1" x14ac:dyDescent="0.2">
      <c r="A1508" s="451" t="s">
        <v>1543</v>
      </c>
      <c r="B1508" s="306" t="s">
        <v>98</v>
      </c>
      <c r="C1508" s="354" t="s">
        <v>8</v>
      </c>
      <c r="D1508" s="354" t="s">
        <v>8</v>
      </c>
      <c r="E1508" s="450" t="s">
        <v>342</v>
      </c>
      <c r="F1508" s="450"/>
      <c r="G1508" s="498">
        <f t="shared" si="483"/>
        <v>0</v>
      </c>
      <c r="H1508" s="498">
        <f t="shared" si="483"/>
        <v>0</v>
      </c>
      <c r="I1508" s="591">
        <f t="shared" si="483"/>
        <v>0</v>
      </c>
      <c r="J1508" s="591">
        <f t="shared" si="483"/>
        <v>0</v>
      </c>
      <c r="K1508" s="591">
        <f t="shared" si="466"/>
        <v>0</v>
      </c>
      <c r="L1508" s="591">
        <f t="shared" si="467"/>
        <v>0</v>
      </c>
      <c r="M1508" s="217">
        <f t="shared" si="480"/>
        <v>0</v>
      </c>
      <c r="N1508" s="170">
        <f>N1509</f>
        <v>100</v>
      </c>
      <c r="R1508" s="591">
        <f t="shared" si="484"/>
        <v>0</v>
      </c>
      <c r="S1508" s="591">
        <f t="shared" si="484"/>
        <v>0</v>
      </c>
      <c r="T1508" s="217">
        <f t="shared" si="481"/>
        <v>0</v>
      </c>
      <c r="U1508" s="498">
        <f t="shared" si="485"/>
        <v>0</v>
      </c>
      <c r="V1508" s="498">
        <f t="shared" si="485"/>
        <v>0</v>
      </c>
      <c r="W1508" s="203">
        <f t="shared" si="472"/>
        <v>0</v>
      </c>
      <c r="X1508" s="203">
        <f t="shared" si="473"/>
        <v>0</v>
      </c>
    </row>
    <row r="1509" spans="1:24" ht="12.75" hidden="1" customHeight="1" x14ac:dyDescent="0.2">
      <c r="A1509" s="451" t="s">
        <v>1543</v>
      </c>
      <c r="B1509" s="306" t="s">
        <v>98</v>
      </c>
      <c r="C1509" s="354" t="s">
        <v>8</v>
      </c>
      <c r="D1509" s="354" t="s">
        <v>8</v>
      </c>
      <c r="E1509" s="450" t="s">
        <v>346</v>
      </c>
      <c r="F1509" s="450"/>
      <c r="G1509" s="498">
        <f t="shared" si="483"/>
        <v>0</v>
      </c>
      <c r="H1509" s="498">
        <f t="shared" si="483"/>
        <v>0</v>
      </c>
      <c r="I1509" s="591">
        <f t="shared" si="483"/>
        <v>0</v>
      </c>
      <c r="J1509" s="591">
        <f t="shared" si="483"/>
        <v>0</v>
      </c>
      <c r="K1509" s="591">
        <f t="shared" si="466"/>
        <v>0</v>
      </c>
      <c r="L1509" s="591">
        <f t="shared" si="467"/>
        <v>0</v>
      </c>
      <c r="M1509" s="217">
        <f t="shared" si="480"/>
        <v>0</v>
      </c>
      <c r="N1509" s="170">
        <f>N1510</f>
        <v>100</v>
      </c>
      <c r="R1509" s="591">
        <f t="shared" si="484"/>
        <v>0</v>
      </c>
      <c r="S1509" s="591">
        <f t="shared" si="484"/>
        <v>0</v>
      </c>
      <c r="T1509" s="217">
        <f t="shared" si="481"/>
        <v>0</v>
      </c>
      <c r="U1509" s="498">
        <f t="shared" si="485"/>
        <v>0</v>
      </c>
      <c r="V1509" s="498">
        <f t="shared" si="485"/>
        <v>0</v>
      </c>
      <c r="W1509" s="203">
        <f t="shared" si="472"/>
        <v>0</v>
      </c>
      <c r="X1509" s="203">
        <f t="shared" si="473"/>
        <v>0</v>
      </c>
    </row>
    <row r="1510" spans="1:24" ht="26.25" hidden="1" customHeight="1" x14ac:dyDescent="0.2">
      <c r="A1510" s="451" t="s">
        <v>1543</v>
      </c>
      <c r="B1510" s="306" t="s">
        <v>98</v>
      </c>
      <c r="C1510" s="354" t="s">
        <v>8</v>
      </c>
      <c r="D1510" s="354" t="s">
        <v>8</v>
      </c>
      <c r="E1510" s="450" t="s">
        <v>347</v>
      </c>
      <c r="F1510" s="450"/>
      <c r="G1510" s="498">
        <f t="shared" si="483"/>
        <v>0</v>
      </c>
      <c r="H1510" s="498">
        <f t="shared" si="483"/>
        <v>0</v>
      </c>
      <c r="I1510" s="591">
        <f t="shared" si="483"/>
        <v>0</v>
      </c>
      <c r="J1510" s="591">
        <f t="shared" si="483"/>
        <v>0</v>
      </c>
      <c r="K1510" s="591">
        <f t="shared" si="466"/>
        <v>0</v>
      </c>
      <c r="L1510" s="591">
        <f t="shared" si="467"/>
        <v>0</v>
      </c>
      <c r="M1510" s="217">
        <f t="shared" si="480"/>
        <v>0</v>
      </c>
      <c r="N1510" s="170">
        <f>N1511</f>
        <v>100</v>
      </c>
      <c r="R1510" s="591">
        <f t="shared" si="484"/>
        <v>0</v>
      </c>
      <c r="S1510" s="591">
        <f t="shared" si="484"/>
        <v>0</v>
      </c>
      <c r="T1510" s="217">
        <f t="shared" si="481"/>
        <v>0</v>
      </c>
      <c r="U1510" s="498">
        <f t="shared" si="485"/>
        <v>0</v>
      </c>
      <c r="V1510" s="498">
        <f t="shared" si="485"/>
        <v>0</v>
      </c>
      <c r="W1510" s="203">
        <f t="shared" si="472"/>
        <v>0</v>
      </c>
      <c r="X1510" s="203">
        <f t="shared" si="473"/>
        <v>0</v>
      </c>
    </row>
    <row r="1511" spans="1:24" ht="12" hidden="1" customHeight="1" x14ac:dyDescent="0.2">
      <c r="A1511" s="451" t="s">
        <v>1543</v>
      </c>
      <c r="B1511" s="306" t="s">
        <v>98</v>
      </c>
      <c r="C1511" s="354" t="s">
        <v>8</v>
      </c>
      <c r="D1511" s="354" t="s">
        <v>8</v>
      </c>
      <c r="E1511" s="450" t="s">
        <v>348</v>
      </c>
      <c r="F1511" s="450"/>
      <c r="G1511" s="498">
        <f>SUM(G1512:G1514)</f>
        <v>0</v>
      </c>
      <c r="H1511" s="498">
        <f>SUM(H1512:H1514)</f>
        <v>0</v>
      </c>
      <c r="I1511" s="591">
        <f>SUM(I1512:I1514)</f>
        <v>0</v>
      </c>
      <c r="J1511" s="591">
        <f>SUM(J1512:J1514)</f>
        <v>0</v>
      </c>
      <c r="K1511" s="591">
        <f t="shared" si="466"/>
        <v>0</v>
      </c>
      <c r="L1511" s="591">
        <f t="shared" si="467"/>
        <v>0</v>
      </c>
      <c r="M1511" s="217">
        <f t="shared" si="480"/>
        <v>0</v>
      </c>
      <c r="N1511" s="170">
        <f>SUM(N1512:N1514)</f>
        <v>100</v>
      </c>
      <c r="R1511" s="591">
        <f>SUM(R1512:R1514)</f>
        <v>0</v>
      </c>
      <c r="S1511" s="591">
        <f>SUM(S1512:S1514)</f>
        <v>0</v>
      </c>
      <c r="T1511" s="217">
        <f t="shared" si="481"/>
        <v>0</v>
      </c>
      <c r="U1511" s="498">
        <f>SUM(U1512:U1514)</f>
        <v>0</v>
      </c>
      <c r="V1511" s="498">
        <f>SUM(V1512:V1514)</f>
        <v>0</v>
      </c>
      <c r="W1511" s="203">
        <f t="shared" si="472"/>
        <v>0</v>
      </c>
      <c r="X1511" s="203">
        <f t="shared" si="473"/>
        <v>0</v>
      </c>
    </row>
    <row r="1512" spans="1:24" ht="12" hidden="1" customHeight="1" x14ac:dyDescent="0.2">
      <c r="A1512" s="124" t="s">
        <v>1543</v>
      </c>
      <c r="B1512" s="243" t="s">
        <v>98</v>
      </c>
      <c r="C1512" s="353" t="s">
        <v>8</v>
      </c>
      <c r="D1512" s="353" t="s">
        <v>8</v>
      </c>
      <c r="E1512" s="369" t="s">
        <v>348</v>
      </c>
      <c r="F1512" s="369" t="s">
        <v>232</v>
      </c>
      <c r="G1512" s="288"/>
      <c r="H1512" s="288"/>
      <c r="I1512" s="288"/>
      <c r="J1512" s="288"/>
      <c r="K1512" s="43">
        <f t="shared" si="466"/>
        <v>0</v>
      </c>
      <c r="L1512" s="43">
        <f t="shared" si="467"/>
        <v>0</v>
      </c>
      <c r="M1512" s="217">
        <f t="shared" si="480"/>
        <v>0</v>
      </c>
      <c r="N1512" s="171">
        <v>4.8</v>
      </c>
      <c r="R1512" s="288"/>
      <c r="S1512" s="288"/>
      <c r="T1512" s="217">
        <f t="shared" si="481"/>
        <v>0</v>
      </c>
      <c r="U1512" s="288"/>
      <c r="V1512" s="288"/>
      <c r="W1512" s="203">
        <f t="shared" si="472"/>
        <v>0</v>
      </c>
      <c r="X1512" s="203">
        <f t="shared" si="473"/>
        <v>0</v>
      </c>
    </row>
    <row r="1513" spans="1:24" ht="12" hidden="1" customHeight="1" x14ac:dyDescent="0.2">
      <c r="A1513" s="124" t="s">
        <v>1543</v>
      </c>
      <c r="B1513" s="243" t="s">
        <v>98</v>
      </c>
      <c r="C1513" s="353" t="s">
        <v>8</v>
      </c>
      <c r="D1513" s="353" t="s">
        <v>8</v>
      </c>
      <c r="E1513" s="369" t="s">
        <v>348</v>
      </c>
      <c r="F1513" s="369" t="s">
        <v>634</v>
      </c>
      <c r="G1513" s="288"/>
      <c r="H1513" s="288"/>
      <c r="I1513" s="288"/>
      <c r="J1513" s="288"/>
      <c r="K1513" s="43">
        <f t="shared" si="466"/>
        <v>0</v>
      </c>
      <c r="L1513" s="43">
        <f t="shared" si="467"/>
        <v>0</v>
      </c>
      <c r="M1513" s="217">
        <f t="shared" si="480"/>
        <v>0</v>
      </c>
      <c r="N1513" s="171">
        <v>95.2</v>
      </c>
      <c r="R1513" s="288"/>
      <c r="S1513" s="288"/>
      <c r="T1513" s="217">
        <f t="shared" ref="T1513:T1546" si="486">I1513-G1513</f>
        <v>0</v>
      </c>
      <c r="U1513" s="288"/>
      <c r="V1513" s="288"/>
      <c r="W1513" s="203">
        <f t="shared" si="472"/>
        <v>0</v>
      </c>
      <c r="X1513" s="203">
        <f t="shared" si="473"/>
        <v>0</v>
      </c>
    </row>
    <row r="1514" spans="1:24" ht="12" hidden="1" customHeight="1" x14ac:dyDescent="0.2">
      <c r="A1514" s="124" t="s">
        <v>1543</v>
      </c>
      <c r="B1514" s="243" t="s">
        <v>98</v>
      </c>
      <c r="C1514" s="353" t="s">
        <v>8</v>
      </c>
      <c r="D1514" s="353" t="s">
        <v>8</v>
      </c>
      <c r="E1514" s="369" t="s">
        <v>348</v>
      </c>
      <c r="F1514" s="369" t="s">
        <v>231</v>
      </c>
      <c r="G1514" s="288"/>
      <c r="H1514" s="288"/>
      <c r="I1514" s="288"/>
      <c r="J1514" s="288"/>
      <c r="K1514" s="43">
        <f t="shared" si="466"/>
        <v>0</v>
      </c>
      <c r="L1514" s="43">
        <f t="shared" si="467"/>
        <v>0</v>
      </c>
      <c r="M1514" s="217">
        <f t="shared" si="480"/>
        <v>0</v>
      </c>
      <c r="N1514" s="171"/>
      <c r="R1514" s="288"/>
      <c r="S1514" s="288"/>
      <c r="T1514" s="217">
        <f t="shared" si="486"/>
        <v>0</v>
      </c>
      <c r="U1514" s="288"/>
      <c r="V1514" s="288"/>
      <c r="W1514" s="203">
        <f t="shared" si="472"/>
        <v>0</v>
      </c>
      <c r="X1514" s="203">
        <f t="shared" si="473"/>
        <v>0</v>
      </c>
    </row>
    <row r="1515" spans="1:24" ht="12" hidden="1" customHeight="1" x14ac:dyDescent="0.2">
      <c r="A1515" s="451" t="s">
        <v>1543</v>
      </c>
      <c r="B1515" s="306" t="s">
        <v>98</v>
      </c>
      <c r="C1515" s="354" t="s">
        <v>8</v>
      </c>
      <c r="D1515" s="354" t="s">
        <v>613</v>
      </c>
      <c r="E1515" s="450"/>
      <c r="F1515" s="450"/>
      <c r="G1515" s="498">
        <f>G1516</f>
        <v>0</v>
      </c>
      <c r="H1515" s="498">
        <f>H1516</f>
        <v>0</v>
      </c>
      <c r="I1515" s="591">
        <f>I1516</f>
        <v>0</v>
      </c>
      <c r="J1515" s="591">
        <f>J1516</f>
        <v>0</v>
      </c>
      <c r="K1515" s="591">
        <f t="shared" si="466"/>
        <v>0</v>
      </c>
      <c r="L1515" s="591">
        <f t="shared" si="467"/>
        <v>0</v>
      </c>
      <c r="M1515" s="217">
        <f t="shared" si="480"/>
        <v>0</v>
      </c>
      <c r="N1515" s="42" t="e">
        <f>N1516</f>
        <v>#REF!</v>
      </c>
      <c r="R1515" s="591">
        <f>R1516</f>
        <v>0</v>
      </c>
      <c r="S1515" s="591">
        <f>S1516</f>
        <v>0</v>
      </c>
      <c r="T1515" s="217">
        <f t="shared" si="486"/>
        <v>0</v>
      </c>
      <c r="U1515" s="498">
        <f>U1516</f>
        <v>0</v>
      </c>
      <c r="V1515" s="498">
        <f>V1516</f>
        <v>0</v>
      </c>
      <c r="W1515" s="203">
        <f t="shared" si="472"/>
        <v>0</v>
      </c>
      <c r="X1515" s="203">
        <f t="shared" si="473"/>
        <v>0</v>
      </c>
    </row>
    <row r="1516" spans="1:24" ht="12" hidden="1" customHeight="1" x14ac:dyDescent="0.2">
      <c r="A1516" s="451" t="s">
        <v>1543</v>
      </c>
      <c r="B1516" s="306" t="s">
        <v>98</v>
      </c>
      <c r="C1516" s="354" t="s">
        <v>8</v>
      </c>
      <c r="D1516" s="354" t="s">
        <v>613</v>
      </c>
      <c r="E1516" s="450" t="s">
        <v>312</v>
      </c>
      <c r="F1516" s="450"/>
      <c r="G1516" s="498">
        <f>G1517+G1519</f>
        <v>0</v>
      </c>
      <c r="H1516" s="498">
        <f>H1517+H1519</f>
        <v>0</v>
      </c>
      <c r="I1516" s="591">
        <f>I1517+I1519</f>
        <v>0</v>
      </c>
      <c r="J1516" s="591">
        <f>J1517+J1519</f>
        <v>0</v>
      </c>
      <c r="K1516" s="591">
        <f t="shared" si="466"/>
        <v>0</v>
      </c>
      <c r="L1516" s="591">
        <f t="shared" si="467"/>
        <v>0</v>
      </c>
      <c r="M1516" s="217">
        <f t="shared" si="480"/>
        <v>0</v>
      </c>
      <c r="N1516" s="42" t="e">
        <f>#REF!+#REF!+N1517+#REF!</f>
        <v>#REF!</v>
      </c>
      <c r="R1516" s="591">
        <f>R1517+R1519</f>
        <v>0</v>
      </c>
      <c r="S1516" s="591">
        <f>S1517+S1519</f>
        <v>0</v>
      </c>
      <c r="T1516" s="217">
        <f t="shared" si="486"/>
        <v>0</v>
      </c>
      <c r="U1516" s="498">
        <f>U1517+U1519</f>
        <v>0</v>
      </c>
      <c r="V1516" s="498">
        <f>V1517+V1519</f>
        <v>0</v>
      </c>
      <c r="W1516" s="203">
        <f t="shared" si="472"/>
        <v>0</v>
      </c>
      <c r="X1516" s="203">
        <f t="shared" si="473"/>
        <v>0</v>
      </c>
    </row>
    <row r="1517" spans="1:24" ht="15.75" hidden="1" customHeight="1" x14ac:dyDescent="0.2">
      <c r="A1517" s="451" t="s">
        <v>1543</v>
      </c>
      <c r="B1517" s="306" t="s">
        <v>98</v>
      </c>
      <c r="C1517" s="354" t="s">
        <v>8</v>
      </c>
      <c r="D1517" s="354" t="s">
        <v>613</v>
      </c>
      <c r="E1517" s="450" t="s">
        <v>536</v>
      </c>
      <c r="F1517" s="450"/>
      <c r="G1517" s="498">
        <f>G1518</f>
        <v>0</v>
      </c>
      <c r="H1517" s="498">
        <f>H1518</f>
        <v>0</v>
      </c>
      <c r="I1517" s="591">
        <f>I1518</f>
        <v>0</v>
      </c>
      <c r="J1517" s="591">
        <f>J1518</f>
        <v>0</v>
      </c>
      <c r="K1517" s="591">
        <f t="shared" si="466"/>
        <v>0</v>
      </c>
      <c r="L1517" s="591">
        <f t="shared" si="467"/>
        <v>0</v>
      </c>
      <c r="M1517" s="217">
        <f t="shared" si="480"/>
        <v>0</v>
      </c>
      <c r="N1517" s="42">
        <f>N1518</f>
        <v>0</v>
      </c>
      <c r="R1517" s="591">
        <f>R1518</f>
        <v>0</v>
      </c>
      <c r="S1517" s="591">
        <f>S1518</f>
        <v>0</v>
      </c>
      <c r="T1517" s="217">
        <f t="shared" si="486"/>
        <v>0</v>
      </c>
      <c r="U1517" s="498">
        <f>U1518</f>
        <v>0</v>
      </c>
      <c r="V1517" s="498">
        <f>V1518</f>
        <v>0</v>
      </c>
      <c r="W1517" s="203">
        <f t="shared" si="472"/>
        <v>0</v>
      </c>
      <c r="X1517" s="203">
        <f t="shared" si="473"/>
        <v>0</v>
      </c>
    </row>
    <row r="1518" spans="1:24" ht="15" hidden="1" x14ac:dyDescent="0.2">
      <c r="A1518" s="124" t="s">
        <v>1543</v>
      </c>
      <c r="B1518" s="243" t="s">
        <v>98</v>
      </c>
      <c r="C1518" s="353" t="s">
        <v>8</v>
      </c>
      <c r="D1518" s="353" t="s">
        <v>613</v>
      </c>
      <c r="E1518" s="369" t="s">
        <v>536</v>
      </c>
      <c r="F1518" s="369" t="s">
        <v>634</v>
      </c>
      <c r="G1518" s="288"/>
      <c r="H1518" s="288"/>
      <c r="I1518" s="288"/>
      <c r="J1518" s="288"/>
      <c r="K1518" s="43">
        <f t="shared" ref="K1518:K1584" si="487">I1518-G1518</f>
        <v>0</v>
      </c>
      <c r="L1518" s="43">
        <f t="shared" ref="L1518:L1584" si="488">J1518-H1518</f>
        <v>0</v>
      </c>
      <c r="M1518" s="217">
        <f t="shared" ref="M1518:M1597" si="489">I1518-G1518-K1518</f>
        <v>0</v>
      </c>
      <c r="N1518" s="43">
        <v>0</v>
      </c>
      <c r="R1518" s="288"/>
      <c r="S1518" s="288"/>
      <c r="T1518" s="217">
        <f t="shared" si="486"/>
        <v>0</v>
      </c>
      <c r="U1518" s="288"/>
      <c r="V1518" s="288"/>
      <c r="W1518" s="203">
        <f t="shared" si="472"/>
        <v>0</v>
      </c>
      <c r="X1518" s="203">
        <f t="shared" si="473"/>
        <v>0</v>
      </c>
    </row>
    <row r="1519" spans="1:24" ht="15" hidden="1" x14ac:dyDescent="0.2">
      <c r="A1519" s="451" t="s">
        <v>1543</v>
      </c>
      <c r="B1519" s="306" t="s">
        <v>98</v>
      </c>
      <c r="C1519" s="354" t="s">
        <v>8</v>
      </c>
      <c r="D1519" s="354" t="s">
        <v>613</v>
      </c>
      <c r="E1519" s="450" t="s">
        <v>774</v>
      </c>
      <c r="F1519" s="450"/>
      <c r="G1519" s="498">
        <f>G1520</f>
        <v>0</v>
      </c>
      <c r="H1519" s="498">
        <f>H1520</f>
        <v>0</v>
      </c>
      <c r="I1519" s="591">
        <f>I1520</f>
        <v>0</v>
      </c>
      <c r="J1519" s="591">
        <f>J1520</f>
        <v>0</v>
      </c>
      <c r="K1519" s="591">
        <f t="shared" si="487"/>
        <v>0</v>
      </c>
      <c r="L1519" s="591">
        <f t="shared" si="488"/>
        <v>0</v>
      </c>
      <c r="M1519" s="217">
        <f t="shared" si="489"/>
        <v>0</v>
      </c>
      <c r="N1519" s="43"/>
      <c r="R1519" s="591">
        <f>R1520</f>
        <v>0</v>
      </c>
      <c r="S1519" s="591">
        <f>S1520</f>
        <v>0</v>
      </c>
      <c r="T1519" s="217">
        <f t="shared" si="486"/>
        <v>0</v>
      </c>
      <c r="U1519" s="498">
        <f>U1520</f>
        <v>0</v>
      </c>
      <c r="V1519" s="498">
        <f>V1520</f>
        <v>0</v>
      </c>
      <c r="W1519" s="203">
        <f t="shared" si="472"/>
        <v>0</v>
      </c>
      <c r="X1519" s="203">
        <f t="shared" si="473"/>
        <v>0</v>
      </c>
    </row>
    <row r="1520" spans="1:24" ht="15" hidden="1" x14ac:dyDescent="0.2">
      <c r="A1520" s="124" t="s">
        <v>1543</v>
      </c>
      <c r="B1520" s="243" t="s">
        <v>98</v>
      </c>
      <c r="C1520" s="353" t="s">
        <v>8</v>
      </c>
      <c r="D1520" s="353" t="s">
        <v>613</v>
      </c>
      <c r="E1520" s="369" t="s">
        <v>774</v>
      </c>
      <c r="F1520" s="369" t="s">
        <v>69</v>
      </c>
      <c r="G1520" s="288">
        <v>0</v>
      </c>
      <c r="H1520" s="288"/>
      <c r="I1520" s="288">
        <v>0</v>
      </c>
      <c r="J1520" s="288"/>
      <c r="K1520" s="43">
        <f t="shared" si="487"/>
        <v>0</v>
      </c>
      <c r="L1520" s="43">
        <f t="shared" si="488"/>
        <v>0</v>
      </c>
      <c r="M1520" s="217">
        <f t="shared" si="489"/>
        <v>0</v>
      </c>
      <c r="N1520" s="43"/>
      <c r="R1520" s="288">
        <v>0</v>
      </c>
      <c r="S1520" s="288"/>
      <c r="T1520" s="217">
        <f t="shared" si="486"/>
        <v>0</v>
      </c>
      <c r="U1520" s="288">
        <v>0</v>
      </c>
      <c r="V1520" s="288"/>
      <c r="W1520" s="203">
        <f t="shared" si="472"/>
        <v>0</v>
      </c>
      <c r="X1520" s="203">
        <f t="shared" si="473"/>
        <v>0</v>
      </c>
    </row>
    <row r="1521" spans="1:24" ht="15" x14ac:dyDescent="0.2">
      <c r="A1521" s="746" t="s">
        <v>612</v>
      </c>
      <c r="B1521" s="306" t="s">
        <v>98</v>
      </c>
      <c r="C1521" s="354" t="s">
        <v>613</v>
      </c>
      <c r="D1521" s="354"/>
      <c r="E1521" s="450"/>
      <c r="F1521" s="450"/>
      <c r="G1521" s="591">
        <f t="shared" ref="G1521:J1525" si="490">G1522</f>
        <v>248.768</v>
      </c>
      <c r="H1521" s="591">
        <f t="shared" si="490"/>
        <v>0</v>
      </c>
      <c r="I1521" s="591">
        <f t="shared" si="490"/>
        <v>248.768</v>
      </c>
      <c r="J1521" s="591">
        <f t="shared" si="490"/>
        <v>0</v>
      </c>
      <c r="K1521" s="591">
        <f t="shared" si="487"/>
        <v>0</v>
      </c>
      <c r="L1521" s="591">
        <f t="shared" si="488"/>
        <v>0</v>
      </c>
      <c r="M1521" s="217">
        <f t="shared" si="489"/>
        <v>0</v>
      </c>
      <c r="N1521" s="178" t="e">
        <f>N1522</f>
        <v>#REF!</v>
      </c>
      <c r="R1521" s="591">
        <f t="shared" ref="R1521:S1525" si="491">R1522</f>
        <v>350.1746</v>
      </c>
      <c r="S1521" s="591">
        <f t="shared" si="491"/>
        <v>0</v>
      </c>
      <c r="T1521" s="217">
        <f t="shared" si="486"/>
        <v>0</v>
      </c>
      <c r="U1521" s="498">
        <f t="shared" ref="U1521:V1525" si="492">U1522</f>
        <v>168.3</v>
      </c>
      <c r="V1521" s="498">
        <f t="shared" si="492"/>
        <v>0</v>
      </c>
      <c r="W1521" s="203">
        <f t="shared" si="472"/>
        <v>0</v>
      </c>
      <c r="X1521" s="203">
        <f t="shared" si="473"/>
        <v>0</v>
      </c>
    </row>
    <row r="1522" spans="1:24" ht="15" x14ac:dyDescent="0.2">
      <c r="A1522" s="746" t="s">
        <v>6</v>
      </c>
      <c r="B1522" s="306" t="s">
        <v>98</v>
      </c>
      <c r="C1522" s="354" t="s">
        <v>613</v>
      </c>
      <c r="D1522" s="354" t="s">
        <v>613</v>
      </c>
      <c r="E1522" s="450"/>
      <c r="F1522" s="450"/>
      <c r="G1522" s="591">
        <f>G1523+G1527</f>
        <v>248.768</v>
      </c>
      <c r="H1522" s="591">
        <f>H1523+H1527</f>
        <v>0</v>
      </c>
      <c r="I1522" s="591">
        <f>I1523+I1527</f>
        <v>248.768</v>
      </c>
      <c r="J1522" s="591">
        <f>J1523+J1527</f>
        <v>0</v>
      </c>
      <c r="K1522" s="591">
        <f t="shared" si="487"/>
        <v>0</v>
      </c>
      <c r="L1522" s="591">
        <f t="shared" si="488"/>
        <v>0</v>
      </c>
      <c r="M1522" s="217">
        <f t="shared" si="489"/>
        <v>0</v>
      </c>
      <c r="N1522" s="178" t="e">
        <f>N1523</f>
        <v>#REF!</v>
      </c>
      <c r="R1522" s="591">
        <f>R1523+R1527</f>
        <v>350.1746</v>
      </c>
      <c r="S1522" s="591">
        <f>S1523+S1527</f>
        <v>0</v>
      </c>
      <c r="T1522" s="217">
        <f t="shared" si="486"/>
        <v>0</v>
      </c>
      <c r="U1522" s="498">
        <f t="shared" si="492"/>
        <v>168.3</v>
      </c>
      <c r="V1522" s="498">
        <f t="shared" si="492"/>
        <v>0</v>
      </c>
      <c r="W1522" s="203">
        <f t="shared" si="472"/>
        <v>0</v>
      </c>
      <c r="X1522" s="203">
        <f t="shared" si="473"/>
        <v>0</v>
      </c>
    </row>
    <row r="1523" spans="1:24" ht="15" x14ac:dyDescent="0.2">
      <c r="A1523" s="746" t="s">
        <v>1038</v>
      </c>
      <c r="B1523" s="306" t="s">
        <v>98</v>
      </c>
      <c r="C1523" s="354" t="s">
        <v>613</v>
      </c>
      <c r="D1523" s="354" t="s">
        <v>613</v>
      </c>
      <c r="E1523" s="450" t="s">
        <v>369</v>
      </c>
      <c r="F1523" s="450"/>
      <c r="G1523" s="591">
        <f t="shared" si="490"/>
        <v>248.768</v>
      </c>
      <c r="H1523" s="591">
        <f t="shared" si="490"/>
        <v>0</v>
      </c>
      <c r="I1523" s="591">
        <f t="shared" si="490"/>
        <v>248.768</v>
      </c>
      <c r="J1523" s="591">
        <f t="shared" si="490"/>
        <v>0</v>
      </c>
      <c r="K1523" s="591">
        <f t="shared" si="487"/>
        <v>0</v>
      </c>
      <c r="L1523" s="591">
        <f t="shared" si="488"/>
        <v>0</v>
      </c>
      <c r="M1523" s="217">
        <f t="shared" si="489"/>
        <v>0</v>
      </c>
      <c r="N1523" s="178" t="e">
        <f>#REF!</f>
        <v>#REF!</v>
      </c>
      <c r="R1523" s="591">
        <f t="shared" si="491"/>
        <v>175.1</v>
      </c>
      <c r="S1523" s="591">
        <f t="shared" si="491"/>
        <v>0</v>
      </c>
      <c r="T1523" s="217">
        <f t="shared" si="486"/>
        <v>0</v>
      </c>
      <c r="U1523" s="498">
        <f t="shared" si="492"/>
        <v>168.3</v>
      </c>
      <c r="V1523" s="498">
        <f t="shared" si="492"/>
        <v>0</v>
      </c>
      <c r="W1523" s="203">
        <f t="shared" si="472"/>
        <v>0</v>
      </c>
      <c r="X1523" s="203">
        <f t="shared" si="473"/>
        <v>0</v>
      </c>
    </row>
    <row r="1524" spans="1:24" ht="15" x14ac:dyDescent="0.2">
      <c r="A1524" s="746" t="s">
        <v>1764</v>
      </c>
      <c r="B1524" s="306" t="s">
        <v>98</v>
      </c>
      <c r="C1524" s="354" t="s">
        <v>613</v>
      </c>
      <c r="D1524" s="354" t="s">
        <v>613</v>
      </c>
      <c r="E1524" s="450" t="s">
        <v>1039</v>
      </c>
      <c r="F1524" s="450"/>
      <c r="G1524" s="591">
        <f t="shared" si="490"/>
        <v>248.768</v>
      </c>
      <c r="H1524" s="591">
        <f t="shared" si="490"/>
        <v>0</v>
      </c>
      <c r="I1524" s="591">
        <f t="shared" si="490"/>
        <v>248.768</v>
      </c>
      <c r="J1524" s="591">
        <f t="shared" si="490"/>
        <v>0</v>
      </c>
      <c r="K1524" s="591">
        <f t="shared" si="487"/>
        <v>0</v>
      </c>
      <c r="L1524" s="591">
        <f t="shared" si="488"/>
        <v>0</v>
      </c>
      <c r="M1524" s="217">
        <f t="shared" si="489"/>
        <v>0</v>
      </c>
      <c r="N1524" s="178">
        <f>N1525</f>
        <v>100</v>
      </c>
      <c r="R1524" s="591">
        <f t="shared" si="491"/>
        <v>175.1</v>
      </c>
      <c r="S1524" s="591">
        <f t="shared" si="491"/>
        <v>0</v>
      </c>
      <c r="T1524" s="217">
        <f t="shared" si="486"/>
        <v>0</v>
      </c>
      <c r="U1524" s="498">
        <f t="shared" si="492"/>
        <v>168.3</v>
      </c>
      <c r="V1524" s="498">
        <f t="shared" si="492"/>
        <v>0</v>
      </c>
      <c r="W1524" s="203">
        <f t="shared" si="472"/>
        <v>0</v>
      </c>
      <c r="X1524" s="203">
        <f t="shared" si="473"/>
        <v>0</v>
      </c>
    </row>
    <row r="1525" spans="1:24" ht="15" x14ac:dyDescent="0.2">
      <c r="A1525" s="746" t="s">
        <v>49</v>
      </c>
      <c r="B1525" s="306" t="s">
        <v>98</v>
      </c>
      <c r="C1525" s="354" t="s">
        <v>613</v>
      </c>
      <c r="D1525" s="354" t="s">
        <v>613</v>
      </c>
      <c r="E1525" s="450" t="s">
        <v>1040</v>
      </c>
      <c r="F1525" s="450"/>
      <c r="G1525" s="591">
        <f t="shared" si="490"/>
        <v>248.768</v>
      </c>
      <c r="H1525" s="591">
        <f t="shared" si="490"/>
        <v>0</v>
      </c>
      <c r="I1525" s="591">
        <f t="shared" si="490"/>
        <v>248.768</v>
      </c>
      <c r="J1525" s="591">
        <f t="shared" si="490"/>
        <v>0</v>
      </c>
      <c r="K1525" s="591">
        <f t="shared" si="487"/>
        <v>0</v>
      </c>
      <c r="L1525" s="591">
        <f t="shared" si="488"/>
        <v>0</v>
      </c>
      <c r="M1525" s="217">
        <f t="shared" si="489"/>
        <v>0</v>
      </c>
      <c r="N1525" s="178">
        <f>N1526</f>
        <v>100</v>
      </c>
      <c r="R1525" s="591">
        <f t="shared" si="491"/>
        <v>175.1</v>
      </c>
      <c r="S1525" s="591">
        <f t="shared" si="491"/>
        <v>0</v>
      </c>
      <c r="T1525" s="217">
        <f t="shared" si="486"/>
        <v>0</v>
      </c>
      <c r="U1525" s="498">
        <f t="shared" si="492"/>
        <v>168.3</v>
      </c>
      <c r="V1525" s="498">
        <f t="shared" si="492"/>
        <v>0</v>
      </c>
      <c r="W1525" s="203">
        <f t="shared" si="472"/>
        <v>0</v>
      </c>
      <c r="X1525" s="203">
        <f t="shared" si="473"/>
        <v>0</v>
      </c>
    </row>
    <row r="1526" spans="1:24" ht="15" x14ac:dyDescent="0.2">
      <c r="A1526" s="744" t="s">
        <v>834</v>
      </c>
      <c r="B1526" s="243" t="s">
        <v>98</v>
      </c>
      <c r="C1526" s="353" t="s">
        <v>613</v>
      </c>
      <c r="D1526" s="353" t="s">
        <v>613</v>
      </c>
      <c r="E1526" s="369" t="s">
        <v>1040</v>
      </c>
      <c r="F1526" s="369" t="s">
        <v>634</v>
      </c>
      <c r="G1526" s="288">
        <v>248.768</v>
      </c>
      <c r="H1526" s="288"/>
      <c r="I1526" s="288">
        <v>248.768</v>
      </c>
      <c r="J1526" s="288"/>
      <c r="K1526" s="43">
        <f t="shared" si="487"/>
        <v>0</v>
      </c>
      <c r="L1526" s="43">
        <f t="shared" si="488"/>
        <v>0</v>
      </c>
      <c r="M1526" s="217">
        <f t="shared" si="489"/>
        <v>0</v>
      </c>
      <c r="N1526" s="171">
        <v>100</v>
      </c>
      <c r="R1526" s="288">
        <v>175.1</v>
      </c>
      <c r="S1526" s="288"/>
      <c r="T1526" s="217">
        <f t="shared" si="486"/>
        <v>0</v>
      </c>
      <c r="U1526" s="288">
        <v>168.3</v>
      </c>
      <c r="V1526" s="288">
        <v>0</v>
      </c>
      <c r="W1526" s="203">
        <f t="shared" si="472"/>
        <v>0</v>
      </c>
      <c r="X1526" s="203">
        <f t="shared" si="473"/>
        <v>0</v>
      </c>
    </row>
    <row r="1527" spans="1:24" ht="15" hidden="1" x14ac:dyDescent="0.2">
      <c r="A1527" s="133" t="s">
        <v>1565</v>
      </c>
      <c r="B1527" s="388" t="s">
        <v>98</v>
      </c>
      <c r="C1527" s="389" t="s">
        <v>613</v>
      </c>
      <c r="D1527" s="389" t="s">
        <v>613</v>
      </c>
      <c r="E1527" s="390">
        <v>9990000000</v>
      </c>
      <c r="F1527" s="390"/>
      <c r="G1527" s="391">
        <f t="shared" ref="G1527:J1528" si="493">G1528</f>
        <v>0</v>
      </c>
      <c r="H1527" s="391">
        <f t="shared" si="493"/>
        <v>0</v>
      </c>
      <c r="I1527" s="391">
        <f t="shared" si="493"/>
        <v>0</v>
      </c>
      <c r="J1527" s="391">
        <f t="shared" si="493"/>
        <v>0</v>
      </c>
      <c r="K1527" s="42">
        <f t="shared" si="487"/>
        <v>0</v>
      </c>
      <c r="L1527" s="42">
        <f t="shared" si="488"/>
        <v>0</v>
      </c>
      <c r="M1527" s="217"/>
      <c r="N1527" s="171"/>
      <c r="R1527" s="391">
        <f>R1528</f>
        <v>175.0746</v>
      </c>
      <c r="S1527" s="391">
        <f>S1528</f>
        <v>0</v>
      </c>
      <c r="T1527" s="217"/>
      <c r="U1527" s="288"/>
      <c r="V1527" s="288"/>
      <c r="W1527" s="203"/>
      <c r="X1527" s="203"/>
    </row>
    <row r="1528" spans="1:24" ht="25.5" hidden="1" x14ac:dyDescent="0.2">
      <c r="A1528" s="133" t="s">
        <v>1591</v>
      </c>
      <c r="B1528" s="388" t="s">
        <v>98</v>
      </c>
      <c r="C1528" s="389" t="s">
        <v>613</v>
      </c>
      <c r="D1528" s="389" t="s">
        <v>613</v>
      </c>
      <c r="E1528" s="390">
        <v>9990082990</v>
      </c>
      <c r="F1528" s="390"/>
      <c r="G1528" s="391">
        <f t="shared" si="493"/>
        <v>0</v>
      </c>
      <c r="H1528" s="391">
        <f t="shared" si="493"/>
        <v>0</v>
      </c>
      <c r="I1528" s="391">
        <f t="shared" si="493"/>
        <v>0</v>
      </c>
      <c r="J1528" s="391">
        <f t="shared" si="493"/>
        <v>0</v>
      </c>
      <c r="K1528" s="42">
        <f t="shared" si="487"/>
        <v>0</v>
      </c>
      <c r="L1528" s="42">
        <f t="shared" si="488"/>
        <v>0</v>
      </c>
      <c r="M1528" s="217"/>
      <c r="N1528" s="171"/>
      <c r="R1528" s="391">
        <f>R1529</f>
        <v>175.0746</v>
      </c>
      <c r="S1528" s="391">
        <f>S1529</f>
        <v>0</v>
      </c>
      <c r="T1528" s="217"/>
      <c r="U1528" s="288"/>
      <c r="V1528" s="288"/>
      <c r="W1528" s="203"/>
      <c r="X1528" s="203"/>
    </row>
    <row r="1529" spans="1:24" ht="15" hidden="1" x14ac:dyDescent="0.2">
      <c r="A1529" s="124" t="s">
        <v>1592</v>
      </c>
      <c r="B1529" s="243" t="s">
        <v>98</v>
      </c>
      <c r="C1529" s="353" t="s">
        <v>613</v>
      </c>
      <c r="D1529" s="353" t="s">
        <v>613</v>
      </c>
      <c r="E1529" s="369">
        <v>9990082990</v>
      </c>
      <c r="F1529" s="369">
        <v>360</v>
      </c>
      <c r="G1529" s="288"/>
      <c r="H1529" s="288"/>
      <c r="I1529" s="288"/>
      <c r="J1529" s="288"/>
      <c r="K1529" s="43">
        <f t="shared" si="487"/>
        <v>0</v>
      </c>
      <c r="L1529" s="43">
        <f t="shared" si="488"/>
        <v>0</v>
      </c>
      <c r="M1529" s="217"/>
      <c r="N1529" s="171"/>
      <c r="R1529" s="288">
        <v>175.0746</v>
      </c>
      <c r="S1529" s="288"/>
      <c r="T1529" s="217"/>
      <c r="U1529" s="288"/>
      <c r="V1529" s="288"/>
      <c r="W1529" s="203"/>
      <c r="X1529" s="203"/>
    </row>
    <row r="1530" spans="1:24" ht="15" hidden="1" x14ac:dyDescent="0.2">
      <c r="A1530" s="746" t="s">
        <v>1593</v>
      </c>
      <c r="B1530" s="306" t="s">
        <v>98</v>
      </c>
      <c r="C1530" s="354" t="s">
        <v>27</v>
      </c>
      <c r="D1530" s="354"/>
      <c r="E1530" s="450"/>
      <c r="F1530" s="450"/>
      <c r="G1530" s="591">
        <f>G1531+G1562+G1535</f>
        <v>9326.3850000000002</v>
      </c>
      <c r="H1530" s="591">
        <f>H1531+H1562+H1535</f>
        <v>0</v>
      </c>
      <c r="I1530" s="591">
        <f>I1531+I1562+I1535</f>
        <v>12470.085000000001</v>
      </c>
      <c r="J1530" s="591">
        <f>J1531+J1562+J1535</f>
        <v>0</v>
      </c>
      <c r="K1530" s="591">
        <f t="shared" si="487"/>
        <v>3143.7000000000007</v>
      </c>
      <c r="L1530" s="591">
        <f t="shared" si="488"/>
        <v>0</v>
      </c>
      <c r="M1530" s="217">
        <f t="shared" si="489"/>
        <v>0</v>
      </c>
      <c r="N1530" s="170">
        <f>N1531+N1562+N1535</f>
        <v>3783.4700000000003</v>
      </c>
      <c r="R1530" s="591">
        <f>R1531+R1562+R1535</f>
        <v>10470.398999999999</v>
      </c>
      <c r="S1530" s="591">
        <f>S1531+S1562+S1535</f>
        <v>0</v>
      </c>
      <c r="T1530" s="217">
        <f t="shared" si="486"/>
        <v>3143.7000000000007</v>
      </c>
      <c r="U1530" s="498">
        <f>U1531+U1562+U1535</f>
        <v>7651.5400000000009</v>
      </c>
      <c r="V1530" s="498">
        <f>V1531+V1562+V1535</f>
        <v>0</v>
      </c>
      <c r="W1530" s="203">
        <f t="shared" si="472"/>
        <v>-3143.7000000000007</v>
      </c>
      <c r="X1530" s="203">
        <f t="shared" si="473"/>
        <v>0</v>
      </c>
    </row>
    <row r="1531" spans="1:24" s="181" customFormat="1" ht="15" x14ac:dyDescent="0.2">
      <c r="A1531" s="746" t="s">
        <v>122</v>
      </c>
      <c r="B1531" s="306" t="s">
        <v>98</v>
      </c>
      <c r="C1531" s="354" t="s">
        <v>27</v>
      </c>
      <c r="D1531" s="354" t="s">
        <v>605</v>
      </c>
      <c r="E1531" s="450"/>
      <c r="F1531" s="450"/>
      <c r="G1531" s="591">
        <f t="shared" ref="G1531:J1533" si="494">G1532</f>
        <v>4445.3999999999996</v>
      </c>
      <c r="H1531" s="591">
        <f t="shared" si="494"/>
        <v>0</v>
      </c>
      <c r="I1531" s="591">
        <f t="shared" si="494"/>
        <v>4644.5</v>
      </c>
      <c r="J1531" s="591">
        <f t="shared" si="494"/>
        <v>0</v>
      </c>
      <c r="K1531" s="591">
        <f t="shared" si="487"/>
        <v>199.10000000000036</v>
      </c>
      <c r="L1531" s="591">
        <f t="shared" si="488"/>
        <v>0</v>
      </c>
      <c r="M1531" s="217">
        <f t="shared" si="489"/>
        <v>0</v>
      </c>
      <c r="N1531" s="170">
        <f>N1532</f>
        <v>1504.3</v>
      </c>
      <c r="R1531" s="591">
        <f t="shared" ref="R1531:S1533" si="495">R1532</f>
        <v>3271.221</v>
      </c>
      <c r="S1531" s="591">
        <f t="shared" si="495"/>
        <v>0</v>
      </c>
      <c r="T1531" s="217">
        <f t="shared" si="486"/>
        <v>199.10000000000036</v>
      </c>
      <c r="U1531" s="498">
        <f t="shared" ref="U1531:V1533" si="496">U1532</f>
        <v>3069.7</v>
      </c>
      <c r="V1531" s="498">
        <f t="shared" si="496"/>
        <v>0</v>
      </c>
      <c r="W1531" s="203">
        <f t="shared" si="472"/>
        <v>-199.10000000000036</v>
      </c>
      <c r="X1531" s="203">
        <f t="shared" si="473"/>
        <v>0</v>
      </c>
    </row>
    <row r="1532" spans="1:24" s="181" customFormat="1" ht="15" x14ac:dyDescent="0.2">
      <c r="A1532" s="746" t="s">
        <v>65</v>
      </c>
      <c r="B1532" s="306" t="s">
        <v>98</v>
      </c>
      <c r="C1532" s="354" t="s">
        <v>27</v>
      </c>
      <c r="D1532" s="354" t="s">
        <v>605</v>
      </c>
      <c r="E1532" s="450" t="s">
        <v>312</v>
      </c>
      <c r="F1532" s="450"/>
      <c r="G1532" s="591">
        <f t="shared" si="494"/>
        <v>4445.3999999999996</v>
      </c>
      <c r="H1532" s="591">
        <f t="shared" si="494"/>
        <v>0</v>
      </c>
      <c r="I1532" s="591">
        <f t="shared" si="494"/>
        <v>4644.5</v>
      </c>
      <c r="J1532" s="591">
        <f t="shared" si="494"/>
        <v>0</v>
      </c>
      <c r="K1532" s="591">
        <f t="shared" si="487"/>
        <v>199.10000000000036</v>
      </c>
      <c r="L1532" s="591">
        <f t="shared" si="488"/>
        <v>0</v>
      </c>
      <c r="M1532" s="217">
        <f t="shared" si="489"/>
        <v>0</v>
      </c>
      <c r="N1532" s="170">
        <f>N1533</f>
        <v>1504.3</v>
      </c>
      <c r="R1532" s="591">
        <f t="shared" si="495"/>
        <v>3271.221</v>
      </c>
      <c r="S1532" s="591">
        <f t="shared" si="495"/>
        <v>0</v>
      </c>
      <c r="T1532" s="217">
        <f t="shared" si="486"/>
        <v>199.10000000000036</v>
      </c>
      <c r="U1532" s="498">
        <f t="shared" si="496"/>
        <v>3069.7</v>
      </c>
      <c r="V1532" s="498">
        <f t="shared" si="496"/>
        <v>0</v>
      </c>
      <c r="W1532" s="203">
        <f t="shared" si="472"/>
        <v>-199.10000000000036</v>
      </c>
      <c r="X1532" s="203">
        <f t="shared" si="473"/>
        <v>0</v>
      </c>
    </row>
    <row r="1533" spans="1:24" s="181" customFormat="1" ht="15" x14ac:dyDescent="0.2">
      <c r="A1533" s="746" t="s">
        <v>1763</v>
      </c>
      <c r="B1533" s="306" t="s">
        <v>98</v>
      </c>
      <c r="C1533" s="354" t="s">
        <v>27</v>
      </c>
      <c r="D1533" s="354" t="s">
        <v>605</v>
      </c>
      <c r="E1533" s="450" t="s">
        <v>370</v>
      </c>
      <c r="F1533" s="450"/>
      <c r="G1533" s="591">
        <f t="shared" si="494"/>
        <v>4445.3999999999996</v>
      </c>
      <c r="H1533" s="591">
        <f t="shared" si="494"/>
        <v>0</v>
      </c>
      <c r="I1533" s="591">
        <f t="shared" si="494"/>
        <v>4644.5</v>
      </c>
      <c r="J1533" s="591">
        <f t="shared" si="494"/>
        <v>0</v>
      </c>
      <c r="K1533" s="591">
        <f t="shared" si="487"/>
        <v>199.10000000000036</v>
      </c>
      <c r="L1533" s="591">
        <f t="shared" si="488"/>
        <v>0</v>
      </c>
      <c r="M1533" s="217">
        <f t="shared" si="489"/>
        <v>0</v>
      </c>
      <c r="N1533" s="170">
        <f>N1534</f>
        <v>1504.3</v>
      </c>
      <c r="R1533" s="591">
        <f t="shared" si="495"/>
        <v>3271.221</v>
      </c>
      <c r="S1533" s="591">
        <f t="shared" si="495"/>
        <v>0</v>
      </c>
      <c r="T1533" s="217">
        <f t="shared" si="486"/>
        <v>199.10000000000036</v>
      </c>
      <c r="U1533" s="498">
        <f t="shared" si="496"/>
        <v>3069.7</v>
      </c>
      <c r="V1533" s="498">
        <f t="shared" si="496"/>
        <v>0</v>
      </c>
      <c r="W1533" s="203">
        <f t="shared" si="472"/>
        <v>-199.10000000000036</v>
      </c>
      <c r="X1533" s="203">
        <f t="shared" si="473"/>
        <v>0</v>
      </c>
    </row>
    <row r="1534" spans="1:24" s="181" customFormat="1" ht="31.5" customHeight="1" x14ac:dyDescent="0.2">
      <c r="A1534" s="744" t="s">
        <v>42</v>
      </c>
      <c r="B1534" s="243" t="s">
        <v>98</v>
      </c>
      <c r="C1534" s="353" t="s">
        <v>27</v>
      </c>
      <c r="D1534" s="353" t="s">
        <v>605</v>
      </c>
      <c r="E1534" s="369" t="s">
        <v>370</v>
      </c>
      <c r="F1534" s="369" t="s">
        <v>41</v>
      </c>
      <c r="G1534" s="288">
        <f>4015.2+430.2</f>
        <v>4445.3999999999996</v>
      </c>
      <c r="H1534" s="288"/>
      <c r="I1534" s="288">
        <v>4644.5</v>
      </c>
      <c r="J1534" s="288"/>
      <c r="K1534" s="43">
        <f t="shared" si="487"/>
        <v>199.10000000000036</v>
      </c>
      <c r="L1534" s="43">
        <f t="shared" si="488"/>
        <v>0</v>
      </c>
      <c r="M1534" s="217">
        <f t="shared" si="489"/>
        <v>0</v>
      </c>
      <c r="N1534" s="171">
        <v>1504.3</v>
      </c>
      <c r="R1534" s="288">
        <v>3271.221</v>
      </c>
      <c r="S1534" s="288"/>
      <c r="T1534" s="217">
        <f t="shared" si="486"/>
        <v>199.10000000000036</v>
      </c>
      <c r="U1534" s="288">
        <v>3069.7</v>
      </c>
      <c r="V1534" s="288">
        <v>0</v>
      </c>
      <c r="W1534" s="203">
        <f t="shared" si="472"/>
        <v>-199.10000000000036</v>
      </c>
      <c r="X1534" s="203">
        <f t="shared" si="473"/>
        <v>0</v>
      </c>
    </row>
    <row r="1535" spans="1:24" ht="15" x14ac:dyDescent="0.2">
      <c r="A1535" s="746" t="s">
        <v>1594</v>
      </c>
      <c r="B1535" s="306" t="s">
        <v>98</v>
      </c>
      <c r="C1535" s="354" t="s">
        <v>27</v>
      </c>
      <c r="D1535" s="354" t="s">
        <v>606</v>
      </c>
      <c r="E1535" s="450"/>
      <c r="F1535" s="450"/>
      <c r="G1535" s="591">
        <f>G1536+G1553+G1549</f>
        <v>573</v>
      </c>
      <c r="H1535" s="591">
        <f>H1536+H1553+H1549</f>
        <v>0</v>
      </c>
      <c r="I1535" s="591">
        <f>I1536+I1553+I1549</f>
        <v>1517.6</v>
      </c>
      <c r="J1535" s="591">
        <f>J1536+J1553+J1549</f>
        <v>0</v>
      </c>
      <c r="K1535" s="591">
        <f t="shared" si="487"/>
        <v>944.59999999999991</v>
      </c>
      <c r="L1535" s="591">
        <f t="shared" si="488"/>
        <v>0</v>
      </c>
      <c r="M1535" s="217">
        <f t="shared" si="489"/>
        <v>0</v>
      </c>
      <c r="N1535" s="170">
        <f>N1536+N1553</f>
        <v>293.17</v>
      </c>
      <c r="R1535" s="591">
        <f>R1536+R1553</f>
        <v>4239.8999999999996</v>
      </c>
      <c r="S1535" s="591">
        <f>S1536+S1553</f>
        <v>0</v>
      </c>
      <c r="T1535" s="217">
        <f t="shared" si="486"/>
        <v>944.59999999999991</v>
      </c>
      <c r="U1535" s="498">
        <f>U1536+U1553</f>
        <v>2156.1</v>
      </c>
      <c r="V1535" s="498">
        <f>V1536+V1553</f>
        <v>0</v>
      </c>
      <c r="W1535" s="203">
        <f t="shared" si="472"/>
        <v>-944.59999999999991</v>
      </c>
      <c r="X1535" s="203">
        <f t="shared" si="473"/>
        <v>0</v>
      </c>
    </row>
    <row r="1536" spans="1:24" ht="27" hidden="1" customHeight="1" x14ac:dyDescent="0.2">
      <c r="A1536" s="451" t="s">
        <v>1543</v>
      </c>
      <c r="B1536" s="306" t="s">
        <v>98</v>
      </c>
      <c r="C1536" s="354" t="s">
        <v>27</v>
      </c>
      <c r="D1536" s="354" t="s">
        <v>606</v>
      </c>
      <c r="E1536" s="450" t="s">
        <v>342</v>
      </c>
      <c r="F1536" s="450"/>
      <c r="G1536" s="498">
        <f t="shared" ref="G1536:J1537" si="497">G1537</f>
        <v>0</v>
      </c>
      <c r="H1536" s="498">
        <f t="shared" si="497"/>
        <v>0</v>
      </c>
      <c r="I1536" s="591">
        <f t="shared" si="497"/>
        <v>0</v>
      </c>
      <c r="J1536" s="591">
        <f t="shared" si="497"/>
        <v>0</v>
      </c>
      <c r="K1536" s="591">
        <f t="shared" si="487"/>
        <v>0</v>
      </c>
      <c r="L1536" s="591">
        <f t="shared" si="488"/>
        <v>0</v>
      </c>
      <c r="M1536" s="217">
        <f t="shared" si="489"/>
        <v>0</v>
      </c>
      <c r="N1536" s="170">
        <f>N1539</f>
        <v>220</v>
      </c>
      <c r="R1536" s="591">
        <f>R1537</f>
        <v>0</v>
      </c>
      <c r="S1536" s="591">
        <f>S1537</f>
        <v>0</v>
      </c>
      <c r="T1536" s="217">
        <f t="shared" si="486"/>
        <v>0</v>
      </c>
      <c r="U1536" s="498">
        <f>U1537</f>
        <v>0</v>
      </c>
      <c r="V1536" s="498">
        <f>V1537</f>
        <v>0</v>
      </c>
      <c r="W1536" s="203">
        <f t="shared" si="472"/>
        <v>0</v>
      </c>
      <c r="X1536" s="203">
        <f t="shared" si="473"/>
        <v>0</v>
      </c>
    </row>
    <row r="1537" spans="1:24" ht="12" hidden="1" customHeight="1" x14ac:dyDescent="0.2">
      <c r="A1537" s="451" t="s">
        <v>1543</v>
      </c>
      <c r="B1537" s="306" t="s">
        <v>98</v>
      </c>
      <c r="C1537" s="354" t="s">
        <v>27</v>
      </c>
      <c r="D1537" s="354" t="s">
        <v>606</v>
      </c>
      <c r="E1537" s="450" t="s">
        <v>651</v>
      </c>
      <c r="F1537" s="450"/>
      <c r="G1537" s="498">
        <f t="shared" si="497"/>
        <v>0</v>
      </c>
      <c r="H1537" s="498">
        <f t="shared" si="497"/>
        <v>0</v>
      </c>
      <c r="I1537" s="591">
        <f t="shared" si="497"/>
        <v>0</v>
      </c>
      <c r="J1537" s="591">
        <f t="shared" si="497"/>
        <v>0</v>
      </c>
      <c r="K1537" s="591">
        <f t="shared" si="487"/>
        <v>0</v>
      </c>
      <c r="L1537" s="591">
        <f t="shared" si="488"/>
        <v>0</v>
      </c>
      <c r="M1537" s="217">
        <f t="shared" si="489"/>
        <v>0</v>
      </c>
      <c r="N1537" s="170"/>
      <c r="R1537" s="591">
        <f>R1538</f>
        <v>0</v>
      </c>
      <c r="S1537" s="591">
        <f>S1538</f>
        <v>0</v>
      </c>
      <c r="T1537" s="217">
        <f t="shared" si="486"/>
        <v>0</v>
      </c>
      <c r="U1537" s="498">
        <f>U1538</f>
        <v>0</v>
      </c>
      <c r="V1537" s="498">
        <f>V1538</f>
        <v>0</v>
      </c>
      <c r="W1537" s="203">
        <f t="shared" si="472"/>
        <v>0</v>
      </c>
      <c r="X1537" s="203">
        <f t="shared" si="473"/>
        <v>0</v>
      </c>
    </row>
    <row r="1538" spans="1:24" ht="39.75" hidden="1" customHeight="1" x14ac:dyDescent="0.2">
      <c r="A1538" s="451" t="s">
        <v>1543</v>
      </c>
      <c r="B1538" s="306" t="s">
        <v>98</v>
      </c>
      <c r="C1538" s="354" t="s">
        <v>27</v>
      </c>
      <c r="D1538" s="354" t="s">
        <v>606</v>
      </c>
      <c r="E1538" s="450" t="s">
        <v>652</v>
      </c>
      <c r="F1538" s="450"/>
      <c r="G1538" s="498">
        <f>G1539+G1541+G1543+G1545+G1547</f>
        <v>0</v>
      </c>
      <c r="H1538" s="498">
        <f>H1539+H1541+H1543+H1545+H1547</f>
        <v>0</v>
      </c>
      <c r="I1538" s="591">
        <f>I1539+I1541+I1543+I1545+I1547</f>
        <v>0</v>
      </c>
      <c r="J1538" s="591">
        <f>J1539+J1541+J1543+J1545+J1547</f>
        <v>0</v>
      </c>
      <c r="K1538" s="591">
        <f t="shared" si="487"/>
        <v>0</v>
      </c>
      <c r="L1538" s="591">
        <f t="shared" si="488"/>
        <v>0</v>
      </c>
      <c r="M1538" s="217">
        <f t="shared" si="489"/>
        <v>0</v>
      </c>
      <c r="N1538" s="170"/>
      <c r="R1538" s="591">
        <f>R1539+R1541+R1543+R1545+R1547</f>
        <v>0</v>
      </c>
      <c r="S1538" s="591">
        <f>S1539+S1541+S1543+S1545+S1547</f>
        <v>0</v>
      </c>
      <c r="T1538" s="217">
        <f t="shared" si="486"/>
        <v>0</v>
      </c>
      <c r="U1538" s="498">
        <f>U1539+U1541+U1543+U1545+U1547</f>
        <v>0</v>
      </c>
      <c r="V1538" s="498">
        <f>V1539+V1541+V1543+V1545+V1547</f>
        <v>0</v>
      </c>
      <c r="W1538" s="203">
        <f t="shared" si="472"/>
        <v>0</v>
      </c>
      <c r="X1538" s="203">
        <f t="shared" si="473"/>
        <v>0</v>
      </c>
    </row>
    <row r="1539" spans="1:24" ht="12" hidden="1" customHeight="1" x14ac:dyDescent="0.2">
      <c r="A1539" s="451" t="s">
        <v>1543</v>
      </c>
      <c r="B1539" s="306" t="s">
        <v>98</v>
      </c>
      <c r="C1539" s="354" t="s">
        <v>27</v>
      </c>
      <c r="D1539" s="354" t="s">
        <v>606</v>
      </c>
      <c r="E1539" s="450" t="s">
        <v>653</v>
      </c>
      <c r="F1539" s="450"/>
      <c r="G1539" s="498">
        <f>G1540</f>
        <v>0</v>
      </c>
      <c r="H1539" s="498">
        <f>H1540</f>
        <v>0</v>
      </c>
      <c r="I1539" s="591">
        <f>I1540</f>
        <v>0</v>
      </c>
      <c r="J1539" s="591">
        <f>J1540</f>
        <v>0</v>
      </c>
      <c r="K1539" s="591">
        <f t="shared" si="487"/>
        <v>0</v>
      </c>
      <c r="L1539" s="591">
        <f t="shared" si="488"/>
        <v>0</v>
      </c>
      <c r="M1539" s="217">
        <f t="shared" si="489"/>
        <v>0</v>
      </c>
      <c r="N1539" s="170">
        <f>N1540</f>
        <v>220</v>
      </c>
      <c r="R1539" s="591">
        <f>R1540</f>
        <v>0</v>
      </c>
      <c r="S1539" s="591">
        <f>S1540</f>
        <v>0</v>
      </c>
      <c r="T1539" s="217">
        <f t="shared" si="486"/>
        <v>0</v>
      </c>
      <c r="U1539" s="498">
        <f>U1540</f>
        <v>0</v>
      </c>
      <c r="V1539" s="498">
        <f>V1540</f>
        <v>0</v>
      </c>
      <c r="W1539" s="203">
        <f t="shared" si="472"/>
        <v>0</v>
      </c>
      <c r="X1539" s="203">
        <f t="shared" si="473"/>
        <v>0</v>
      </c>
    </row>
    <row r="1540" spans="1:24" ht="12" hidden="1" customHeight="1" x14ac:dyDescent="0.2">
      <c r="A1540" s="124" t="s">
        <v>1543</v>
      </c>
      <c r="B1540" s="243" t="s">
        <v>98</v>
      </c>
      <c r="C1540" s="353" t="s">
        <v>27</v>
      </c>
      <c r="D1540" s="353" t="s">
        <v>606</v>
      </c>
      <c r="E1540" s="369" t="s">
        <v>653</v>
      </c>
      <c r="F1540" s="369" t="s">
        <v>576</v>
      </c>
      <c r="G1540" s="288">
        <v>0</v>
      </c>
      <c r="H1540" s="288"/>
      <c r="I1540" s="288">
        <v>0</v>
      </c>
      <c r="J1540" s="288"/>
      <c r="K1540" s="43">
        <f t="shared" si="487"/>
        <v>0</v>
      </c>
      <c r="L1540" s="43">
        <f t="shared" si="488"/>
        <v>0</v>
      </c>
      <c r="M1540" s="217">
        <f t="shared" si="489"/>
        <v>0</v>
      </c>
      <c r="N1540" s="172">
        <v>220</v>
      </c>
      <c r="R1540" s="288">
        <v>0</v>
      </c>
      <c r="S1540" s="288"/>
      <c r="T1540" s="217">
        <f t="shared" si="486"/>
        <v>0</v>
      </c>
      <c r="U1540" s="288">
        <v>0</v>
      </c>
      <c r="V1540" s="288"/>
      <c r="W1540" s="203">
        <f t="shared" si="472"/>
        <v>0</v>
      </c>
      <c r="X1540" s="203">
        <f t="shared" si="473"/>
        <v>0</v>
      </c>
    </row>
    <row r="1541" spans="1:24" ht="27.75" hidden="1" customHeight="1" x14ac:dyDescent="0.2">
      <c r="A1541" s="451" t="s">
        <v>1543</v>
      </c>
      <c r="B1541" s="306" t="s">
        <v>98</v>
      </c>
      <c r="C1541" s="354" t="s">
        <v>27</v>
      </c>
      <c r="D1541" s="354" t="s">
        <v>606</v>
      </c>
      <c r="E1541" s="450" t="s">
        <v>707</v>
      </c>
      <c r="F1541" s="450"/>
      <c r="G1541" s="498">
        <f>G1542</f>
        <v>0</v>
      </c>
      <c r="H1541" s="498">
        <f>H1542</f>
        <v>0</v>
      </c>
      <c r="I1541" s="591">
        <f>I1542</f>
        <v>0</v>
      </c>
      <c r="J1541" s="591">
        <f>J1542</f>
        <v>0</v>
      </c>
      <c r="K1541" s="591">
        <f t="shared" si="487"/>
        <v>0</v>
      </c>
      <c r="L1541" s="591">
        <f t="shared" si="488"/>
        <v>0</v>
      </c>
      <c r="M1541" s="217">
        <f t="shared" si="489"/>
        <v>0</v>
      </c>
      <c r="N1541" s="172"/>
      <c r="R1541" s="591">
        <f>R1542</f>
        <v>0</v>
      </c>
      <c r="S1541" s="591">
        <f>S1542</f>
        <v>0</v>
      </c>
      <c r="T1541" s="217">
        <f t="shared" si="486"/>
        <v>0</v>
      </c>
      <c r="U1541" s="498">
        <f>U1542</f>
        <v>0</v>
      </c>
      <c r="V1541" s="498">
        <f>V1542</f>
        <v>0</v>
      </c>
      <c r="W1541" s="203">
        <f t="shared" si="472"/>
        <v>0</v>
      </c>
      <c r="X1541" s="203">
        <f t="shared" si="473"/>
        <v>0</v>
      </c>
    </row>
    <row r="1542" spans="1:24" ht="12" hidden="1" customHeight="1" x14ac:dyDescent="0.2">
      <c r="A1542" s="124" t="s">
        <v>1543</v>
      </c>
      <c r="B1542" s="243" t="s">
        <v>98</v>
      </c>
      <c r="C1542" s="353" t="s">
        <v>27</v>
      </c>
      <c r="D1542" s="353" t="s">
        <v>606</v>
      </c>
      <c r="E1542" s="369" t="s">
        <v>707</v>
      </c>
      <c r="F1542" s="369" t="s">
        <v>576</v>
      </c>
      <c r="G1542" s="288">
        <v>0</v>
      </c>
      <c r="H1542" s="288"/>
      <c r="I1542" s="288">
        <v>0</v>
      </c>
      <c r="J1542" s="288"/>
      <c r="K1542" s="43">
        <f t="shared" si="487"/>
        <v>0</v>
      </c>
      <c r="L1542" s="43">
        <f t="shared" si="488"/>
        <v>0</v>
      </c>
      <c r="M1542" s="217">
        <f t="shared" si="489"/>
        <v>0</v>
      </c>
      <c r="N1542" s="172"/>
      <c r="R1542" s="288">
        <v>0</v>
      </c>
      <c r="S1542" s="288"/>
      <c r="T1542" s="217">
        <f t="shared" si="486"/>
        <v>0</v>
      </c>
      <c r="U1542" s="288">
        <v>0</v>
      </c>
      <c r="V1542" s="288"/>
      <c r="W1542" s="203">
        <f t="shared" si="472"/>
        <v>0</v>
      </c>
      <c r="X1542" s="203">
        <f t="shared" si="473"/>
        <v>0</v>
      </c>
    </row>
    <row r="1543" spans="1:24" ht="25.5" hidden="1" customHeight="1" x14ac:dyDescent="0.2">
      <c r="A1543" s="451" t="s">
        <v>1543</v>
      </c>
      <c r="B1543" s="306" t="s">
        <v>98</v>
      </c>
      <c r="C1543" s="354" t="s">
        <v>27</v>
      </c>
      <c r="D1543" s="354" t="s">
        <v>606</v>
      </c>
      <c r="E1543" s="450" t="s">
        <v>708</v>
      </c>
      <c r="F1543" s="450"/>
      <c r="G1543" s="498">
        <f>G1544</f>
        <v>0</v>
      </c>
      <c r="H1543" s="498">
        <f>H1544</f>
        <v>0</v>
      </c>
      <c r="I1543" s="591">
        <f>I1544</f>
        <v>0</v>
      </c>
      <c r="J1543" s="591">
        <f>J1544</f>
        <v>0</v>
      </c>
      <c r="K1543" s="591">
        <f t="shared" si="487"/>
        <v>0</v>
      </c>
      <c r="L1543" s="591">
        <f t="shared" si="488"/>
        <v>0</v>
      </c>
      <c r="M1543" s="217">
        <f t="shared" si="489"/>
        <v>0</v>
      </c>
      <c r="N1543" s="172"/>
      <c r="R1543" s="591">
        <f>R1544</f>
        <v>0</v>
      </c>
      <c r="S1543" s="591">
        <f>S1544</f>
        <v>0</v>
      </c>
      <c r="T1543" s="217">
        <f t="shared" si="486"/>
        <v>0</v>
      </c>
      <c r="U1543" s="498">
        <f>U1544</f>
        <v>0</v>
      </c>
      <c r="V1543" s="498">
        <f>V1544</f>
        <v>0</v>
      </c>
      <c r="W1543" s="203">
        <f t="shared" si="472"/>
        <v>0</v>
      </c>
      <c r="X1543" s="203">
        <f t="shared" si="473"/>
        <v>0</v>
      </c>
    </row>
    <row r="1544" spans="1:24" ht="12" hidden="1" customHeight="1" x14ac:dyDescent="0.2">
      <c r="A1544" s="124" t="s">
        <v>1543</v>
      </c>
      <c r="B1544" s="243" t="s">
        <v>98</v>
      </c>
      <c r="C1544" s="353" t="s">
        <v>27</v>
      </c>
      <c r="D1544" s="353" t="s">
        <v>606</v>
      </c>
      <c r="E1544" s="369" t="s">
        <v>708</v>
      </c>
      <c r="F1544" s="369" t="s">
        <v>576</v>
      </c>
      <c r="G1544" s="288">
        <v>0</v>
      </c>
      <c r="H1544" s="288"/>
      <c r="I1544" s="288">
        <v>0</v>
      </c>
      <c r="J1544" s="288"/>
      <c r="K1544" s="43">
        <f t="shared" si="487"/>
        <v>0</v>
      </c>
      <c r="L1544" s="43">
        <f t="shared" si="488"/>
        <v>0</v>
      </c>
      <c r="M1544" s="217">
        <f t="shared" si="489"/>
        <v>0</v>
      </c>
      <c r="N1544" s="172"/>
      <c r="R1544" s="288">
        <v>0</v>
      </c>
      <c r="S1544" s="288"/>
      <c r="T1544" s="217">
        <f t="shared" si="486"/>
        <v>0</v>
      </c>
      <c r="U1544" s="288">
        <v>0</v>
      </c>
      <c r="V1544" s="288"/>
      <c r="W1544" s="203">
        <f t="shared" si="472"/>
        <v>0</v>
      </c>
      <c r="X1544" s="203">
        <f t="shared" si="473"/>
        <v>0</v>
      </c>
    </row>
    <row r="1545" spans="1:24" ht="26.25" hidden="1" customHeight="1" x14ac:dyDescent="0.2">
      <c r="A1545" s="451" t="s">
        <v>1543</v>
      </c>
      <c r="B1545" s="306" t="s">
        <v>98</v>
      </c>
      <c r="C1545" s="354" t="s">
        <v>27</v>
      </c>
      <c r="D1545" s="354" t="s">
        <v>606</v>
      </c>
      <c r="E1545" s="450" t="s">
        <v>707</v>
      </c>
      <c r="F1545" s="450"/>
      <c r="G1545" s="498">
        <f>G1546</f>
        <v>0</v>
      </c>
      <c r="H1545" s="498">
        <f>H1546</f>
        <v>0</v>
      </c>
      <c r="I1545" s="591">
        <f>I1546</f>
        <v>0</v>
      </c>
      <c r="J1545" s="591">
        <f>J1546</f>
        <v>0</v>
      </c>
      <c r="K1545" s="591">
        <f t="shared" si="487"/>
        <v>0</v>
      </c>
      <c r="L1545" s="591">
        <f t="shared" si="488"/>
        <v>0</v>
      </c>
      <c r="M1545" s="217">
        <f t="shared" si="489"/>
        <v>0</v>
      </c>
      <c r="N1545" s="172"/>
      <c r="R1545" s="591">
        <f>R1546</f>
        <v>0</v>
      </c>
      <c r="S1545" s="591">
        <f>S1546</f>
        <v>0</v>
      </c>
      <c r="T1545" s="217">
        <f t="shared" si="486"/>
        <v>0</v>
      </c>
      <c r="U1545" s="498">
        <f>U1546</f>
        <v>0</v>
      </c>
      <c r="V1545" s="498">
        <f>V1546</f>
        <v>0</v>
      </c>
      <c r="W1545" s="203">
        <f t="shared" si="472"/>
        <v>0</v>
      </c>
      <c r="X1545" s="203">
        <f t="shared" si="473"/>
        <v>0</v>
      </c>
    </row>
    <row r="1546" spans="1:24" ht="12" hidden="1" customHeight="1" x14ac:dyDescent="0.2">
      <c r="A1546" s="124" t="s">
        <v>1543</v>
      </c>
      <c r="B1546" s="243" t="s">
        <v>98</v>
      </c>
      <c r="C1546" s="353" t="s">
        <v>27</v>
      </c>
      <c r="D1546" s="353" t="s">
        <v>606</v>
      </c>
      <c r="E1546" s="369" t="s">
        <v>707</v>
      </c>
      <c r="F1546" s="369" t="s">
        <v>576</v>
      </c>
      <c r="G1546" s="288">
        <v>0</v>
      </c>
      <c r="H1546" s="288"/>
      <c r="I1546" s="288">
        <v>0</v>
      </c>
      <c r="J1546" s="288"/>
      <c r="K1546" s="43">
        <f t="shared" si="487"/>
        <v>0</v>
      </c>
      <c r="L1546" s="43">
        <f t="shared" si="488"/>
        <v>0</v>
      </c>
      <c r="M1546" s="217">
        <f t="shared" si="489"/>
        <v>0</v>
      </c>
      <c r="N1546" s="172"/>
      <c r="R1546" s="288">
        <v>0</v>
      </c>
      <c r="S1546" s="288"/>
      <c r="T1546" s="217">
        <f t="shared" si="486"/>
        <v>0</v>
      </c>
      <c r="U1546" s="288">
        <v>0</v>
      </c>
      <c r="V1546" s="288"/>
      <c r="W1546" s="203">
        <f t="shared" si="472"/>
        <v>0</v>
      </c>
      <c r="X1546" s="203">
        <f t="shared" si="473"/>
        <v>0</v>
      </c>
    </row>
    <row r="1547" spans="1:24" ht="16.5" hidden="1" customHeight="1" x14ac:dyDescent="0.2">
      <c r="A1547" s="451" t="s">
        <v>1543</v>
      </c>
      <c r="B1547" s="306" t="s">
        <v>98</v>
      </c>
      <c r="C1547" s="354" t="s">
        <v>27</v>
      </c>
      <c r="D1547" s="354" t="s">
        <v>606</v>
      </c>
      <c r="E1547" s="450" t="s">
        <v>853</v>
      </c>
      <c r="F1547" s="450"/>
      <c r="G1547" s="498">
        <f>G1548</f>
        <v>0</v>
      </c>
      <c r="H1547" s="498">
        <f>H1548</f>
        <v>0</v>
      </c>
      <c r="I1547" s="591">
        <f>I1548</f>
        <v>0</v>
      </c>
      <c r="J1547" s="591">
        <f>J1548</f>
        <v>0</v>
      </c>
      <c r="K1547" s="591">
        <f t="shared" si="487"/>
        <v>0</v>
      </c>
      <c r="L1547" s="591">
        <f t="shared" si="488"/>
        <v>0</v>
      </c>
      <c r="M1547" s="217">
        <f t="shared" si="489"/>
        <v>0</v>
      </c>
      <c r="N1547" s="172"/>
      <c r="R1547" s="591">
        <f>R1548</f>
        <v>0</v>
      </c>
      <c r="S1547" s="591">
        <f>S1548</f>
        <v>0</v>
      </c>
      <c r="T1547" s="217"/>
      <c r="U1547" s="498">
        <f>U1548</f>
        <v>0</v>
      </c>
      <c r="V1547" s="498">
        <f>V1548</f>
        <v>0</v>
      </c>
      <c r="W1547" s="203">
        <f t="shared" si="472"/>
        <v>0</v>
      </c>
      <c r="X1547" s="203">
        <f t="shared" si="473"/>
        <v>0</v>
      </c>
    </row>
    <row r="1548" spans="1:24" ht="21" hidden="1" customHeight="1" x14ac:dyDescent="0.2">
      <c r="A1548" s="124" t="s">
        <v>1543</v>
      </c>
      <c r="B1548" s="243" t="s">
        <v>98</v>
      </c>
      <c r="C1548" s="353" t="s">
        <v>27</v>
      </c>
      <c r="D1548" s="353" t="s">
        <v>606</v>
      </c>
      <c r="E1548" s="369" t="s">
        <v>853</v>
      </c>
      <c r="F1548" s="369" t="s">
        <v>576</v>
      </c>
      <c r="G1548" s="288"/>
      <c r="H1548" s="288"/>
      <c r="I1548" s="288"/>
      <c r="J1548" s="288"/>
      <c r="K1548" s="43">
        <f t="shared" si="487"/>
        <v>0</v>
      </c>
      <c r="L1548" s="43">
        <f t="shared" si="488"/>
        <v>0</v>
      </c>
      <c r="M1548" s="217">
        <f t="shared" si="489"/>
        <v>0</v>
      </c>
      <c r="N1548" s="172"/>
      <c r="R1548" s="288"/>
      <c r="S1548" s="288"/>
      <c r="T1548" s="217"/>
      <c r="U1548" s="288"/>
      <c r="V1548" s="288"/>
      <c r="W1548" s="203">
        <f t="shared" si="472"/>
        <v>0</v>
      </c>
      <c r="X1548" s="203">
        <f t="shared" si="473"/>
        <v>0</v>
      </c>
    </row>
    <row r="1549" spans="1:24" ht="21.75" hidden="1" customHeight="1" x14ac:dyDescent="0.2">
      <c r="A1549" s="121" t="s">
        <v>1608</v>
      </c>
      <c r="B1549" s="388" t="s">
        <v>98</v>
      </c>
      <c r="C1549" s="389" t="s">
        <v>27</v>
      </c>
      <c r="D1549" s="389" t="s">
        <v>606</v>
      </c>
      <c r="E1549" s="390">
        <v>8200000000</v>
      </c>
      <c r="F1549" s="390"/>
      <c r="G1549" s="391">
        <f>G1550</f>
        <v>0</v>
      </c>
      <c r="H1549" s="391">
        <f t="shared" ref="H1549:J1551" si="498">H1550</f>
        <v>0</v>
      </c>
      <c r="I1549" s="391">
        <f>I1550</f>
        <v>0</v>
      </c>
      <c r="J1549" s="391">
        <f t="shared" si="498"/>
        <v>0</v>
      </c>
      <c r="K1549" s="391">
        <f t="shared" si="487"/>
        <v>0</v>
      </c>
      <c r="L1549" s="391">
        <f t="shared" si="488"/>
        <v>0</v>
      </c>
      <c r="M1549" s="217"/>
      <c r="N1549" s="172"/>
      <c r="R1549" s="288"/>
      <c r="S1549" s="288"/>
      <c r="T1549" s="217"/>
      <c r="U1549" s="288"/>
      <c r="V1549" s="288"/>
      <c r="W1549" s="203"/>
      <c r="X1549" s="203"/>
    </row>
    <row r="1550" spans="1:24" ht="21" hidden="1" customHeight="1" x14ac:dyDescent="0.2">
      <c r="A1550" s="121" t="s">
        <v>1833</v>
      </c>
      <c r="B1550" s="388" t="s">
        <v>98</v>
      </c>
      <c r="C1550" s="389" t="s">
        <v>27</v>
      </c>
      <c r="D1550" s="389" t="s">
        <v>606</v>
      </c>
      <c r="E1550" s="390">
        <v>8200800000</v>
      </c>
      <c r="F1550" s="390"/>
      <c r="G1550" s="391">
        <f>G1551</f>
        <v>0</v>
      </c>
      <c r="H1550" s="391">
        <f t="shared" si="498"/>
        <v>0</v>
      </c>
      <c r="I1550" s="391">
        <f>I1551</f>
        <v>0</v>
      </c>
      <c r="J1550" s="391">
        <f t="shared" si="498"/>
        <v>0</v>
      </c>
      <c r="K1550" s="391">
        <f t="shared" si="487"/>
        <v>0</v>
      </c>
      <c r="L1550" s="391">
        <f t="shared" si="488"/>
        <v>0</v>
      </c>
      <c r="M1550" s="217"/>
      <c r="N1550" s="172"/>
      <c r="R1550" s="288"/>
      <c r="S1550" s="288"/>
      <c r="T1550" s="217"/>
      <c r="U1550" s="288"/>
      <c r="V1550" s="288"/>
      <c r="W1550" s="203"/>
      <c r="X1550" s="203"/>
    </row>
    <row r="1551" spans="1:24" ht="19.5" hidden="1" customHeight="1" x14ac:dyDescent="0.2">
      <c r="A1551" s="121" t="s">
        <v>1607</v>
      </c>
      <c r="B1551" s="388" t="s">
        <v>98</v>
      </c>
      <c r="C1551" s="389" t="s">
        <v>27</v>
      </c>
      <c r="D1551" s="389" t="s">
        <v>606</v>
      </c>
      <c r="E1551" s="390">
        <v>8200882460</v>
      </c>
      <c r="F1551" s="390"/>
      <c r="G1551" s="391">
        <f>G1552</f>
        <v>0</v>
      </c>
      <c r="H1551" s="391">
        <f t="shared" si="498"/>
        <v>0</v>
      </c>
      <c r="I1551" s="391">
        <f>I1552</f>
        <v>0</v>
      </c>
      <c r="J1551" s="391">
        <f t="shared" si="498"/>
        <v>0</v>
      </c>
      <c r="K1551" s="391">
        <f t="shared" si="487"/>
        <v>0</v>
      </c>
      <c r="L1551" s="391">
        <f t="shared" si="488"/>
        <v>0</v>
      </c>
      <c r="M1551" s="217"/>
      <c r="N1551" s="172"/>
      <c r="R1551" s="288"/>
      <c r="S1551" s="288"/>
      <c r="T1551" s="217"/>
      <c r="U1551" s="288"/>
      <c r="V1551" s="288"/>
      <c r="W1551" s="203"/>
      <c r="X1551" s="203"/>
    </row>
    <row r="1552" spans="1:24" ht="19.5" hidden="1" customHeight="1" x14ac:dyDescent="0.2">
      <c r="A1552" s="124" t="s">
        <v>1592</v>
      </c>
      <c r="B1552" s="243" t="s">
        <v>98</v>
      </c>
      <c r="C1552" s="353" t="s">
        <v>27</v>
      </c>
      <c r="D1552" s="353" t="s">
        <v>606</v>
      </c>
      <c r="E1552" s="369">
        <v>8200882460</v>
      </c>
      <c r="F1552" s="369">
        <v>360</v>
      </c>
      <c r="G1552" s="288"/>
      <c r="H1552" s="288"/>
      <c r="I1552" s="288"/>
      <c r="J1552" s="288"/>
      <c r="K1552" s="43">
        <f t="shared" si="487"/>
        <v>0</v>
      </c>
      <c r="L1552" s="43">
        <f t="shared" si="488"/>
        <v>0</v>
      </c>
      <c r="M1552" s="217"/>
      <c r="N1552" s="172"/>
      <c r="R1552" s="288"/>
      <c r="S1552" s="288"/>
      <c r="T1552" s="217"/>
      <c r="U1552" s="288"/>
      <c r="V1552" s="288"/>
      <c r="W1552" s="203"/>
      <c r="X1552" s="203"/>
    </row>
    <row r="1553" spans="1:24" ht="19.5" customHeight="1" x14ac:dyDescent="0.2">
      <c r="A1553" s="746" t="s">
        <v>65</v>
      </c>
      <c r="B1553" s="306" t="s">
        <v>98</v>
      </c>
      <c r="C1553" s="354" t="s">
        <v>27</v>
      </c>
      <c r="D1553" s="354" t="s">
        <v>606</v>
      </c>
      <c r="E1553" s="450" t="s">
        <v>312</v>
      </c>
      <c r="F1553" s="450"/>
      <c r="G1553" s="591">
        <f>G1554+G1558+G1560</f>
        <v>573</v>
      </c>
      <c r="H1553" s="591">
        <f>H1554+H1558+H1560</f>
        <v>0</v>
      </c>
      <c r="I1553" s="591">
        <f>I1554+I1558+I1560</f>
        <v>1517.6</v>
      </c>
      <c r="J1553" s="591">
        <f>J1554+J1558+J1560</f>
        <v>0</v>
      </c>
      <c r="K1553" s="591">
        <f t="shared" si="487"/>
        <v>944.59999999999991</v>
      </c>
      <c r="L1553" s="591">
        <f t="shared" si="488"/>
        <v>0</v>
      </c>
      <c r="M1553" s="217">
        <f t="shared" si="489"/>
        <v>0</v>
      </c>
      <c r="N1553" s="42">
        <f>N1554</f>
        <v>73.17</v>
      </c>
      <c r="R1553" s="591">
        <f>R1554+R1558+R1560</f>
        <v>4239.8999999999996</v>
      </c>
      <c r="S1553" s="591">
        <f>S1554+S1558+S1560</f>
        <v>0</v>
      </c>
      <c r="T1553" s="217">
        <f t="shared" ref="T1553:T1589" si="499">I1553-G1553</f>
        <v>944.59999999999991</v>
      </c>
      <c r="U1553" s="498">
        <f>U1554+U1558+U1560</f>
        <v>2156.1</v>
      </c>
      <c r="V1553" s="498">
        <f>V1554+V1558+V1560</f>
        <v>0</v>
      </c>
      <c r="W1553" s="203">
        <f t="shared" si="472"/>
        <v>-944.59999999999991</v>
      </c>
      <c r="X1553" s="203">
        <f t="shared" si="473"/>
        <v>0</v>
      </c>
    </row>
    <row r="1554" spans="1:24" ht="16.5" customHeight="1" x14ac:dyDescent="0.2">
      <c r="A1554" s="746" t="s">
        <v>236</v>
      </c>
      <c r="B1554" s="306" t="s">
        <v>98</v>
      </c>
      <c r="C1554" s="354" t="s">
        <v>27</v>
      </c>
      <c r="D1554" s="354" t="s">
        <v>606</v>
      </c>
      <c r="E1554" s="450" t="s">
        <v>536</v>
      </c>
      <c r="F1554" s="450"/>
      <c r="G1554" s="591">
        <f>SUM(G1555:G1557)</f>
        <v>573</v>
      </c>
      <c r="H1554" s="591">
        <f t="shared" ref="H1554:L1554" si="500">SUM(H1555:H1557)</f>
        <v>0</v>
      </c>
      <c r="I1554" s="591">
        <f t="shared" si="500"/>
        <v>1517.6</v>
      </c>
      <c r="J1554" s="591">
        <f t="shared" si="500"/>
        <v>0</v>
      </c>
      <c r="K1554" s="591">
        <f t="shared" si="500"/>
        <v>944.59999999999991</v>
      </c>
      <c r="L1554" s="591">
        <f t="shared" si="500"/>
        <v>0</v>
      </c>
      <c r="M1554" s="217">
        <f t="shared" si="489"/>
        <v>0</v>
      </c>
      <c r="N1554" s="42">
        <f>N1555</f>
        <v>73.17</v>
      </c>
      <c r="R1554" s="591">
        <f>R1555</f>
        <v>199.9</v>
      </c>
      <c r="S1554" s="591">
        <f>S1555</f>
        <v>0</v>
      </c>
      <c r="T1554" s="217">
        <f t="shared" si="499"/>
        <v>944.59999999999991</v>
      </c>
      <c r="U1554" s="498">
        <f>U1555</f>
        <v>76.099999999999994</v>
      </c>
      <c r="V1554" s="498">
        <f>V1555</f>
        <v>0</v>
      </c>
      <c r="W1554" s="203">
        <f t="shared" si="472"/>
        <v>-944.59999999999991</v>
      </c>
      <c r="X1554" s="203">
        <f t="shared" si="473"/>
        <v>0</v>
      </c>
    </row>
    <row r="1555" spans="1:24" ht="12" customHeight="1" x14ac:dyDescent="0.2">
      <c r="A1555" s="744" t="s">
        <v>42</v>
      </c>
      <c r="B1555" s="243" t="s">
        <v>98</v>
      </c>
      <c r="C1555" s="353" t="s">
        <v>27</v>
      </c>
      <c r="D1555" s="353" t="s">
        <v>606</v>
      </c>
      <c r="E1555" s="369" t="s">
        <v>536</v>
      </c>
      <c r="F1555" s="369" t="s">
        <v>41</v>
      </c>
      <c r="G1555" s="288">
        <v>50</v>
      </c>
      <c r="H1555" s="288"/>
      <c r="I1555" s="288">
        <v>50</v>
      </c>
      <c r="J1555" s="288"/>
      <c r="K1555" s="43">
        <f t="shared" si="487"/>
        <v>0</v>
      </c>
      <c r="L1555" s="43">
        <f t="shared" si="488"/>
        <v>0</v>
      </c>
      <c r="M1555" s="217">
        <f t="shared" si="489"/>
        <v>0</v>
      </c>
      <c r="N1555" s="43">
        <v>73.17</v>
      </c>
      <c r="R1555" s="288">
        <v>199.9</v>
      </c>
      <c r="S1555" s="288">
        <v>0</v>
      </c>
      <c r="T1555" s="217">
        <f t="shared" si="499"/>
        <v>0</v>
      </c>
      <c r="U1555" s="288">
        <v>76.099999999999994</v>
      </c>
      <c r="V1555" s="288">
        <v>0</v>
      </c>
      <c r="W1555" s="203">
        <f t="shared" si="472"/>
        <v>0</v>
      </c>
      <c r="X1555" s="203">
        <f t="shared" si="473"/>
        <v>0</v>
      </c>
    </row>
    <row r="1556" spans="1:24" ht="12" customHeight="1" x14ac:dyDescent="0.2">
      <c r="A1556" s="744" t="s">
        <v>1554</v>
      </c>
      <c r="B1556" s="243" t="s">
        <v>98</v>
      </c>
      <c r="C1556" s="353" t="s">
        <v>27</v>
      </c>
      <c r="D1556" s="353" t="s">
        <v>606</v>
      </c>
      <c r="E1556" s="369" t="s">
        <v>536</v>
      </c>
      <c r="F1556" s="369">
        <v>350</v>
      </c>
      <c r="G1556" s="288"/>
      <c r="H1556" s="288"/>
      <c r="I1556" s="288">
        <v>200</v>
      </c>
      <c r="J1556" s="288"/>
      <c r="K1556" s="43">
        <f t="shared" ref="K1556" si="501">I1556-G1556</f>
        <v>200</v>
      </c>
      <c r="L1556" s="43">
        <f t="shared" ref="L1556" si="502">J1556-H1556</f>
        <v>0</v>
      </c>
      <c r="M1556" s="217"/>
      <c r="N1556" s="43"/>
      <c r="R1556" s="288"/>
      <c r="S1556" s="288"/>
      <c r="T1556" s="217"/>
      <c r="U1556" s="288"/>
      <c r="V1556" s="288"/>
      <c r="W1556" s="203"/>
      <c r="X1556" s="203"/>
    </row>
    <row r="1557" spans="1:24" ht="15" customHeight="1" x14ac:dyDescent="0.2">
      <c r="A1557" s="744" t="s">
        <v>578</v>
      </c>
      <c r="B1557" s="243" t="s">
        <v>98</v>
      </c>
      <c r="C1557" s="353" t="s">
        <v>27</v>
      </c>
      <c r="D1557" s="353" t="s">
        <v>606</v>
      </c>
      <c r="E1557" s="369" t="s">
        <v>536</v>
      </c>
      <c r="F1557" s="369">
        <v>360</v>
      </c>
      <c r="G1557" s="288">
        <v>523</v>
      </c>
      <c r="H1557" s="288"/>
      <c r="I1557" s="288">
        <v>1267.5999999999999</v>
      </c>
      <c r="J1557" s="288"/>
      <c r="K1557" s="43">
        <f t="shared" si="487"/>
        <v>744.59999999999991</v>
      </c>
      <c r="L1557" s="43">
        <f t="shared" si="488"/>
        <v>0</v>
      </c>
      <c r="M1557" s="217"/>
      <c r="N1557" s="43"/>
      <c r="R1557" s="288"/>
      <c r="S1557" s="288"/>
      <c r="T1557" s="217"/>
      <c r="U1557" s="288"/>
      <c r="V1557" s="288"/>
      <c r="W1557" s="203"/>
      <c r="X1557" s="203"/>
    </row>
    <row r="1558" spans="1:24" ht="14.25" hidden="1" customHeight="1" x14ac:dyDescent="0.2">
      <c r="A1558" s="133" t="s">
        <v>1234</v>
      </c>
      <c r="B1558" s="306" t="s">
        <v>98</v>
      </c>
      <c r="C1558" s="354" t="s">
        <v>27</v>
      </c>
      <c r="D1558" s="354" t="s">
        <v>606</v>
      </c>
      <c r="E1558" s="613" t="s">
        <v>1228</v>
      </c>
      <c r="F1558" s="390"/>
      <c r="G1558" s="391">
        <f>G1559</f>
        <v>0</v>
      </c>
      <c r="H1558" s="391">
        <f>H1559</f>
        <v>0</v>
      </c>
      <c r="I1558" s="391">
        <f>I1559</f>
        <v>0</v>
      </c>
      <c r="J1558" s="391">
        <f>J1559</f>
        <v>0</v>
      </c>
      <c r="K1558" s="391">
        <f t="shared" si="487"/>
        <v>0</v>
      </c>
      <c r="L1558" s="391">
        <f t="shared" si="488"/>
        <v>0</v>
      </c>
      <c r="M1558" s="217"/>
      <c r="N1558" s="43"/>
      <c r="R1558" s="391">
        <f>R1559</f>
        <v>1700</v>
      </c>
      <c r="S1558" s="391">
        <f>S1559</f>
        <v>0</v>
      </c>
      <c r="T1558" s="217"/>
      <c r="U1558" s="391">
        <f>U1559</f>
        <v>10</v>
      </c>
      <c r="V1558" s="391">
        <f>V1559</f>
        <v>0</v>
      </c>
      <c r="W1558" s="203"/>
      <c r="X1558" s="203"/>
    </row>
    <row r="1559" spans="1:24" ht="15" hidden="1" customHeight="1" x14ac:dyDescent="0.2">
      <c r="A1559" s="124" t="s">
        <v>1584</v>
      </c>
      <c r="B1559" s="243" t="s">
        <v>98</v>
      </c>
      <c r="C1559" s="353" t="s">
        <v>27</v>
      </c>
      <c r="D1559" s="353" t="s">
        <v>606</v>
      </c>
      <c r="E1559" s="369" t="s">
        <v>1228</v>
      </c>
      <c r="F1559" s="369">
        <v>540</v>
      </c>
      <c r="G1559" s="288"/>
      <c r="H1559" s="288"/>
      <c r="I1559" s="288"/>
      <c r="J1559" s="288"/>
      <c r="K1559" s="43">
        <f t="shared" si="487"/>
        <v>0</v>
      </c>
      <c r="L1559" s="43">
        <f t="shared" si="488"/>
        <v>0</v>
      </c>
      <c r="M1559" s="217"/>
      <c r="N1559" s="43"/>
      <c r="R1559" s="288">
        <v>1700</v>
      </c>
      <c r="S1559" s="288"/>
      <c r="T1559" s="217"/>
      <c r="U1559" s="288">
        <v>10</v>
      </c>
      <c r="V1559" s="288"/>
      <c r="W1559" s="203"/>
      <c r="X1559" s="203"/>
    </row>
    <row r="1560" spans="1:24" ht="16.5" hidden="1" customHeight="1" x14ac:dyDescent="0.2">
      <c r="A1560" s="133" t="s">
        <v>1663</v>
      </c>
      <c r="B1560" s="388" t="s">
        <v>98</v>
      </c>
      <c r="C1560" s="389" t="s">
        <v>27</v>
      </c>
      <c r="D1560" s="389" t="s">
        <v>606</v>
      </c>
      <c r="E1560" s="515" t="s">
        <v>1662</v>
      </c>
      <c r="F1560" s="390"/>
      <c r="G1560" s="391">
        <f>G1561</f>
        <v>0</v>
      </c>
      <c r="H1560" s="391">
        <f>H1561</f>
        <v>0</v>
      </c>
      <c r="I1560" s="391">
        <f>I1561</f>
        <v>0</v>
      </c>
      <c r="J1560" s="391">
        <f>J1561</f>
        <v>0</v>
      </c>
      <c r="K1560" s="391">
        <f t="shared" si="487"/>
        <v>0</v>
      </c>
      <c r="L1560" s="391">
        <f t="shared" si="488"/>
        <v>0</v>
      </c>
      <c r="M1560" s="217"/>
      <c r="N1560" s="43"/>
      <c r="R1560" s="391">
        <f>R1561</f>
        <v>2340</v>
      </c>
      <c r="S1560" s="391">
        <f>S1561</f>
        <v>0</v>
      </c>
      <c r="T1560" s="217"/>
      <c r="U1560" s="391">
        <f>U1561</f>
        <v>2070</v>
      </c>
      <c r="V1560" s="391">
        <f>V1561</f>
        <v>0</v>
      </c>
      <c r="W1560" s="203"/>
      <c r="X1560" s="203"/>
    </row>
    <row r="1561" spans="1:24" ht="15.75" hidden="1" customHeight="1" x14ac:dyDescent="0.2">
      <c r="A1561" s="124" t="s">
        <v>1584</v>
      </c>
      <c r="B1561" s="243" t="s">
        <v>98</v>
      </c>
      <c r="C1561" s="353" t="s">
        <v>27</v>
      </c>
      <c r="D1561" s="353" t="s">
        <v>606</v>
      </c>
      <c r="E1561" s="386" t="s">
        <v>1662</v>
      </c>
      <c r="F1561" s="369">
        <v>540</v>
      </c>
      <c r="G1561" s="288"/>
      <c r="H1561" s="288"/>
      <c r="I1561" s="288"/>
      <c r="J1561" s="288"/>
      <c r="K1561" s="43">
        <f t="shared" si="487"/>
        <v>0</v>
      </c>
      <c r="L1561" s="43">
        <f t="shared" si="488"/>
        <v>0</v>
      </c>
      <c r="M1561" s="217"/>
      <c r="N1561" s="43"/>
      <c r="R1561" s="288">
        <v>2340</v>
      </c>
      <c r="S1561" s="288"/>
      <c r="T1561" s="217"/>
      <c r="U1561" s="288">
        <v>2070</v>
      </c>
      <c r="V1561" s="288"/>
      <c r="W1561" s="203"/>
      <c r="X1561" s="203"/>
    </row>
    <row r="1562" spans="1:24" ht="11.25" hidden="1" customHeight="1" x14ac:dyDescent="0.2">
      <c r="A1562" s="746" t="s">
        <v>1595</v>
      </c>
      <c r="B1562" s="306" t="s">
        <v>98</v>
      </c>
      <c r="C1562" s="354" t="s">
        <v>27</v>
      </c>
      <c r="D1562" s="354" t="s">
        <v>607</v>
      </c>
      <c r="E1562" s="450"/>
      <c r="F1562" s="450"/>
      <c r="G1562" s="591">
        <f>G1563</f>
        <v>4307.9850000000006</v>
      </c>
      <c r="H1562" s="591">
        <f>H1563</f>
        <v>0</v>
      </c>
      <c r="I1562" s="591">
        <f>I1563</f>
        <v>6307.9849999999997</v>
      </c>
      <c r="J1562" s="591">
        <f>J1563</f>
        <v>0</v>
      </c>
      <c r="K1562" s="591">
        <f t="shared" si="487"/>
        <v>1999.9999999999991</v>
      </c>
      <c r="L1562" s="591">
        <f t="shared" si="488"/>
        <v>0</v>
      </c>
      <c r="M1562" s="217">
        <f t="shared" si="489"/>
        <v>0</v>
      </c>
      <c r="N1562" s="178">
        <f>N1564+N1570</f>
        <v>1986</v>
      </c>
      <c r="R1562" s="591">
        <f>R1563</f>
        <v>2959.2779999999998</v>
      </c>
      <c r="S1562" s="591">
        <f>S1563</f>
        <v>0</v>
      </c>
      <c r="T1562" s="217">
        <f t="shared" si="499"/>
        <v>1999.9999999999991</v>
      </c>
      <c r="U1562" s="498">
        <f>U1563</f>
        <v>2425.7400000000002</v>
      </c>
      <c r="V1562" s="498">
        <f>V1563</f>
        <v>0</v>
      </c>
      <c r="W1562" s="203">
        <f t="shared" si="472"/>
        <v>-1999.9999999999991</v>
      </c>
      <c r="X1562" s="203">
        <f t="shared" si="473"/>
        <v>0</v>
      </c>
    </row>
    <row r="1563" spans="1:24" ht="13.5" hidden="1" customHeight="1" x14ac:dyDescent="0.2">
      <c r="A1563" s="746" t="s">
        <v>1762</v>
      </c>
      <c r="B1563" s="306" t="s">
        <v>98</v>
      </c>
      <c r="C1563" s="354" t="s">
        <v>27</v>
      </c>
      <c r="D1563" s="354" t="s">
        <v>607</v>
      </c>
      <c r="E1563" s="450" t="s">
        <v>312</v>
      </c>
      <c r="F1563" s="450"/>
      <c r="G1563" s="591">
        <f>G1564+G1570+G1576+G1580</f>
        <v>4307.9850000000006</v>
      </c>
      <c r="H1563" s="591">
        <f t="shared" ref="H1563:L1563" si="503">H1564+H1570+H1576+H1580</f>
        <v>0</v>
      </c>
      <c r="I1563" s="591">
        <f t="shared" si="503"/>
        <v>6307.9849999999997</v>
      </c>
      <c r="J1563" s="591">
        <f t="shared" si="503"/>
        <v>0</v>
      </c>
      <c r="K1563" s="591">
        <f t="shared" si="503"/>
        <v>2000</v>
      </c>
      <c r="L1563" s="591">
        <f t="shared" si="503"/>
        <v>0</v>
      </c>
      <c r="M1563" s="217">
        <f t="shared" si="489"/>
        <v>0</v>
      </c>
      <c r="N1563" s="178">
        <f>N1564+N1570</f>
        <v>1986</v>
      </c>
      <c r="R1563" s="591">
        <f>R1564+R1570+R1576</f>
        <v>2959.2779999999998</v>
      </c>
      <c r="S1563" s="591">
        <f>S1564+S1570+S1576</f>
        <v>0</v>
      </c>
      <c r="T1563" s="217">
        <f t="shared" si="499"/>
        <v>1999.9999999999991</v>
      </c>
      <c r="U1563" s="498">
        <f>U1564+U1570+U1576</f>
        <v>2425.7400000000002</v>
      </c>
      <c r="V1563" s="498">
        <f>V1564+V1570+V1576</f>
        <v>0</v>
      </c>
      <c r="W1563" s="203">
        <f t="shared" si="472"/>
        <v>-1999.9999999999991</v>
      </c>
      <c r="X1563" s="203">
        <f t="shared" si="473"/>
        <v>0</v>
      </c>
    </row>
    <row r="1564" spans="1:24" s="4" customFormat="1" ht="25.5" x14ac:dyDescent="0.2">
      <c r="A1564" s="746" t="s">
        <v>1761</v>
      </c>
      <c r="B1564" s="306" t="s">
        <v>98</v>
      </c>
      <c r="C1564" s="354" t="s">
        <v>27</v>
      </c>
      <c r="D1564" s="354" t="s">
        <v>607</v>
      </c>
      <c r="E1564" s="450" t="s">
        <v>329</v>
      </c>
      <c r="F1564" s="450"/>
      <c r="G1564" s="591">
        <f>SUM(G1565:G1569)</f>
        <v>1256.6000000000001</v>
      </c>
      <c r="H1564" s="591">
        <f>SUM(H1565:H1569)</f>
        <v>0</v>
      </c>
      <c r="I1564" s="591">
        <f>SUM(I1565:I1569)</f>
        <v>1256.5999999999999</v>
      </c>
      <c r="J1564" s="591">
        <f>SUM(J1565:J1569)</f>
        <v>0</v>
      </c>
      <c r="K1564" s="591">
        <f t="shared" si="487"/>
        <v>0</v>
      </c>
      <c r="L1564" s="591">
        <f t="shared" si="488"/>
        <v>0</v>
      </c>
      <c r="M1564" s="217">
        <f t="shared" si="489"/>
        <v>-2.2737367544323206E-13</v>
      </c>
      <c r="N1564" s="178">
        <f>SUM(N1565:N1569)</f>
        <v>794.40000000000009</v>
      </c>
      <c r="R1564" s="591">
        <f>SUM(R1565:R1569)</f>
        <v>999.3</v>
      </c>
      <c r="S1564" s="591">
        <f>SUM(S1565:S1569)</f>
        <v>0</v>
      </c>
      <c r="T1564" s="217">
        <f t="shared" si="499"/>
        <v>0</v>
      </c>
      <c r="U1564" s="498">
        <f>SUM(U1565:U1569)</f>
        <v>919.2</v>
      </c>
      <c r="V1564" s="498">
        <f>SUM(V1565:V1569)</f>
        <v>0</v>
      </c>
      <c r="W1564" s="203">
        <f t="shared" si="472"/>
        <v>0</v>
      </c>
      <c r="X1564" s="203">
        <f t="shared" si="473"/>
        <v>0</v>
      </c>
    </row>
    <row r="1565" spans="1:24" s="4" customFormat="1" ht="15" x14ac:dyDescent="0.2">
      <c r="A1565" s="744" t="s">
        <v>529</v>
      </c>
      <c r="B1565" s="243" t="s">
        <v>98</v>
      </c>
      <c r="C1565" s="353" t="s">
        <v>27</v>
      </c>
      <c r="D1565" s="353" t="s">
        <v>607</v>
      </c>
      <c r="E1565" s="369" t="s">
        <v>329</v>
      </c>
      <c r="F1565" s="369" t="s">
        <v>129</v>
      </c>
      <c r="G1565" s="519">
        <v>894.37419999999997</v>
      </c>
      <c r="H1565" s="288"/>
      <c r="I1565" s="519">
        <v>894.37419999999997</v>
      </c>
      <c r="J1565" s="288"/>
      <c r="K1565" s="43">
        <f t="shared" si="487"/>
        <v>0</v>
      </c>
      <c r="L1565" s="43">
        <f t="shared" si="488"/>
        <v>0</v>
      </c>
      <c r="M1565" s="217">
        <f t="shared" si="489"/>
        <v>0</v>
      </c>
      <c r="N1565" s="180">
        <f>753.1-174.7</f>
        <v>578.40000000000009</v>
      </c>
      <c r="R1565" s="288">
        <v>731.90508999999997</v>
      </c>
      <c r="S1565" s="288"/>
      <c r="T1565" s="217">
        <f t="shared" si="499"/>
        <v>0</v>
      </c>
      <c r="U1565" s="288">
        <v>674.5</v>
      </c>
      <c r="V1565" s="288">
        <v>0</v>
      </c>
      <c r="W1565" s="203">
        <f t="shared" si="472"/>
        <v>0</v>
      </c>
      <c r="X1565" s="203">
        <f t="shared" si="473"/>
        <v>0</v>
      </c>
    </row>
    <row r="1566" spans="1:24" s="4" customFormat="1" ht="15" x14ac:dyDescent="0.2">
      <c r="A1566" s="744" t="s">
        <v>191</v>
      </c>
      <c r="B1566" s="243" t="s">
        <v>98</v>
      </c>
      <c r="C1566" s="353" t="s">
        <v>27</v>
      </c>
      <c r="D1566" s="353" t="s">
        <v>607</v>
      </c>
      <c r="E1566" s="369" t="s">
        <v>329</v>
      </c>
      <c r="F1566" s="369" t="s">
        <v>636</v>
      </c>
      <c r="G1566" s="519">
        <v>3</v>
      </c>
      <c r="H1566" s="288"/>
      <c r="I1566" s="519">
        <v>7.4</v>
      </c>
      <c r="J1566" s="288"/>
      <c r="K1566" s="43">
        <f t="shared" si="487"/>
        <v>4.4000000000000004</v>
      </c>
      <c r="L1566" s="43">
        <f t="shared" si="488"/>
        <v>0</v>
      </c>
      <c r="M1566" s="217">
        <f t="shared" si="489"/>
        <v>0</v>
      </c>
      <c r="N1566" s="180">
        <v>10.8</v>
      </c>
      <c r="R1566" s="288">
        <v>9</v>
      </c>
      <c r="S1566" s="288"/>
      <c r="T1566" s="217">
        <f t="shared" si="499"/>
        <v>4.4000000000000004</v>
      </c>
      <c r="U1566" s="288">
        <v>4.7437899999999997</v>
      </c>
      <c r="V1566" s="288">
        <v>0</v>
      </c>
      <c r="W1566" s="203">
        <f t="shared" si="472"/>
        <v>-4.4000000000000004</v>
      </c>
      <c r="X1566" s="203">
        <f t="shared" si="473"/>
        <v>0</v>
      </c>
    </row>
    <row r="1567" spans="1:24" s="4" customFormat="1" ht="25.5" x14ac:dyDescent="0.2">
      <c r="A1567" s="744" t="s">
        <v>572</v>
      </c>
      <c r="B1567" s="243" t="s">
        <v>98</v>
      </c>
      <c r="C1567" s="353" t="s">
        <v>27</v>
      </c>
      <c r="D1567" s="353" t="s">
        <v>607</v>
      </c>
      <c r="E1567" s="369" t="s">
        <v>329</v>
      </c>
      <c r="F1567" s="369" t="s">
        <v>524</v>
      </c>
      <c r="G1567" s="519">
        <v>270.82580000000002</v>
      </c>
      <c r="H1567" s="288"/>
      <c r="I1567" s="519">
        <v>270.82580000000002</v>
      </c>
      <c r="J1567" s="288"/>
      <c r="K1567" s="43">
        <f t="shared" si="487"/>
        <v>0</v>
      </c>
      <c r="L1567" s="43">
        <f t="shared" si="488"/>
        <v>0</v>
      </c>
      <c r="M1567" s="217">
        <f t="shared" si="489"/>
        <v>0</v>
      </c>
      <c r="N1567" s="180">
        <v>174.7</v>
      </c>
      <c r="R1567" s="288">
        <v>206.93808000000001</v>
      </c>
      <c r="S1567" s="288"/>
      <c r="T1567" s="217">
        <f t="shared" si="499"/>
        <v>0</v>
      </c>
      <c r="U1567" s="288">
        <v>203.7</v>
      </c>
      <c r="V1567" s="288">
        <v>0</v>
      </c>
      <c r="W1567" s="203">
        <f t="shared" si="472"/>
        <v>0</v>
      </c>
      <c r="X1567" s="203">
        <f t="shared" si="473"/>
        <v>0</v>
      </c>
    </row>
    <row r="1568" spans="1:24" s="4" customFormat="1" ht="15" x14ac:dyDescent="0.2">
      <c r="A1568" s="744" t="s">
        <v>233</v>
      </c>
      <c r="B1568" s="243" t="s">
        <v>98</v>
      </c>
      <c r="C1568" s="353" t="s">
        <v>27</v>
      </c>
      <c r="D1568" s="353" t="s">
        <v>607</v>
      </c>
      <c r="E1568" s="369" t="s">
        <v>329</v>
      </c>
      <c r="F1568" s="369" t="s">
        <v>635</v>
      </c>
      <c r="G1568" s="519">
        <v>14.4</v>
      </c>
      <c r="H1568" s="288"/>
      <c r="I1568" s="519">
        <v>14.4</v>
      </c>
      <c r="J1568" s="288"/>
      <c r="K1568" s="43">
        <f t="shared" si="487"/>
        <v>0</v>
      </c>
      <c r="L1568" s="43">
        <f t="shared" si="488"/>
        <v>0</v>
      </c>
      <c r="M1568" s="217">
        <f t="shared" si="489"/>
        <v>0</v>
      </c>
      <c r="N1568" s="180">
        <v>26.78</v>
      </c>
      <c r="R1568" s="288">
        <v>16.3</v>
      </c>
      <c r="S1568" s="288"/>
      <c r="T1568" s="217">
        <f t="shared" si="499"/>
        <v>0</v>
      </c>
      <c r="U1568" s="288">
        <v>24</v>
      </c>
      <c r="V1568" s="288">
        <v>0</v>
      </c>
      <c r="W1568" s="203">
        <f t="shared" si="472"/>
        <v>0</v>
      </c>
      <c r="X1568" s="203">
        <f t="shared" si="473"/>
        <v>0</v>
      </c>
    </row>
    <row r="1569" spans="1:24" s="4" customFormat="1" ht="15" x14ac:dyDescent="0.2">
      <c r="A1569" s="744" t="s">
        <v>834</v>
      </c>
      <c r="B1569" s="243" t="s">
        <v>98</v>
      </c>
      <c r="C1569" s="353" t="s">
        <v>27</v>
      </c>
      <c r="D1569" s="353" t="s">
        <v>607</v>
      </c>
      <c r="E1569" s="369" t="s">
        <v>329</v>
      </c>
      <c r="F1569" s="369" t="s">
        <v>634</v>
      </c>
      <c r="G1569" s="288">
        <v>74</v>
      </c>
      <c r="H1569" s="288"/>
      <c r="I1569" s="288">
        <v>69.599999999999994</v>
      </c>
      <c r="J1569" s="288"/>
      <c r="K1569" s="43">
        <f t="shared" si="487"/>
        <v>-4.4000000000000057</v>
      </c>
      <c r="L1569" s="43">
        <f t="shared" si="488"/>
        <v>0</v>
      </c>
      <c r="M1569" s="217">
        <f t="shared" si="489"/>
        <v>0</v>
      </c>
      <c r="N1569" s="180">
        <v>3.72</v>
      </c>
      <c r="R1569" s="288">
        <v>35.156829999999999</v>
      </c>
      <c r="S1569" s="288"/>
      <c r="T1569" s="217">
        <f t="shared" si="499"/>
        <v>-4.4000000000000057</v>
      </c>
      <c r="U1569" s="288">
        <v>12.256209999999999</v>
      </c>
      <c r="V1569" s="288">
        <v>0</v>
      </c>
      <c r="W1569" s="203">
        <f t="shared" si="472"/>
        <v>4.4000000000000057</v>
      </c>
      <c r="X1569" s="203">
        <f t="shared" si="473"/>
        <v>0</v>
      </c>
    </row>
    <row r="1570" spans="1:24" s="4" customFormat="1" ht="25.5" x14ac:dyDescent="0.2">
      <c r="A1570" s="746" t="s">
        <v>1760</v>
      </c>
      <c r="B1570" s="306" t="s">
        <v>98</v>
      </c>
      <c r="C1570" s="354" t="s">
        <v>27</v>
      </c>
      <c r="D1570" s="354" t="s">
        <v>607</v>
      </c>
      <c r="E1570" s="450" t="s">
        <v>330</v>
      </c>
      <c r="F1570" s="450"/>
      <c r="G1570" s="591">
        <f>SUM(G1571:G1575)</f>
        <v>2513.1999999999998</v>
      </c>
      <c r="H1570" s="591">
        <f>SUM(H1571:H1575)</f>
        <v>0</v>
      </c>
      <c r="I1570" s="591">
        <f>SUM(I1571:I1575)</f>
        <v>2513.1999999999998</v>
      </c>
      <c r="J1570" s="591">
        <f>SUM(J1571:J1575)</f>
        <v>0</v>
      </c>
      <c r="K1570" s="591">
        <f t="shared" si="487"/>
        <v>0</v>
      </c>
      <c r="L1570" s="591">
        <f t="shared" si="488"/>
        <v>0</v>
      </c>
      <c r="M1570" s="217">
        <f t="shared" si="489"/>
        <v>0</v>
      </c>
      <c r="N1570" s="178">
        <f>SUM(N1571:N1575)</f>
        <v>1191.5999999999999</v>
      </c>
      <c r="R1570" s="591">
        <f>SUM(R1571:R1575)</f>
        <v>1748.85</v>
      </c>
      <c r="S1570" s="591">
        <f>SUM(S1571:S1575)</f>
        <v>0</v>
      </c>
      <c r="T1570" s="217">
        <f t="shared" si="499"/>
        <v>0</v>
      </c>
      <c r="U1570" s="498">
        <f>SUM(U1571:U1575)</f>
        <v>1378.7</v>
      </c>
      <c r="V1570" s="498">
        <f>SUM(V1571:V1575)</f>
        <v>0</v>
      </c>
      <c r="W1570" s="203">
        <f t="shared" ref="W1570:W1641" si="504">G1570-I1570</f>
        <v>0</v>
      </c>
      <c r="X1570" s="203">
        <f t="shared" ref="X1570:X1641" si="505">K1570+W1570</f>
        <v>0</v>
      </c>
    </row>
    <row r="1571" spans="1:24" s="4" customFormat="1" ht="15" x14ac:dyDescent="0.2">
      <c r="A1571" s="744" t="s">
        <v>529</v>
      </c>
      <c r="B1571" s="243" t="s">
        <v>98</v>
      </c>
      <c r="C1571" s="353" t="s">
        <v>27</v>
      </c>
      <c r="D1571" s="353" t="s">
        <v>607</v>
      </c>
      <c r="E1571" s="369" t="s">
        <v>330</v>
      </c>
      <c r="F1571" s="369" t="s">
        <v>129</v>
      </c>
      <c r="G1571" s="519">
        <v>1851.3393000000001</v>
      </c>
      <c r="H1571" s="288"/>
      <c r="I1571" s="519">
        <v>1851.3393000000001</v>
      </c>
      <c r="J1571" s="288"/>
      <c r="K1571" s="43">
        <f t="shared" si="487"/>
        <v>0</v>
      </c>
      <c r="L1571" s="43">
        <f t="shared" si="488"/>
        <v>0</v>
      </c>
      <c r="M1571" s="217">
        <f t="shared" si="489"/>
        <v>0</v>
      </c>
      <c r="N1571" s="180">
        <f>1013.7-235.1</f>
        <v>778.6</v>
      </c>
      <c r="R1571" s="288">
        <v>1258.2560800000001</v>
      </c>
      <c r="S1571" s="288"/>
      <c r="T1571" s="217">
        <f t="shared" si="499"/>
        <v>0</v>
      </c>
      <c r="U1571" s="288">
        <v>966.5</v>
      </c>
      <c r="V1571" s="288">
        <v>0</v>
      </c>
      <c r="W1571" s="203">
        <f t="shared" si="504"/>
        <v>0</v>
      </c>
      <c r="X1571" s="203">
        <f t="shared" si="505"/>
        <v>0</v>
      </c>
    </row>
    <row r="1572" spans="1:24" s="4" customFormat="1" ht="15" x14ac:dyDescent="0.2">
      <c r="A1572" s="744" t="s">
        <v>191</v>
      </c>
      <c r="B1572" s="243" t="s">
        <v>98</v>
      </c>
      <c r="C1572" s="353" t="s">
        <v>27</v>
      </c>
      <c r="D1572" s="353" t="s">
        <v>607</v>
      </c>
      <c r="E1572" s="369" t="s">
        <v>330</v>
      </c>
      <c r="F1572" s="369" t="s">
        <v>636</v>
      </c>
      <c r="G1572" s="519">
        <v>10.6</v>
      </c>
      <c r="H1572" s="288"/>
      <c r="I1572" s="519">
        <v>10.6</v>
      </c>
      <c r="J1572" s="288"/>
      <c r="K1572" s="43">
        <f t="shared" si="487"/>
        <v>0</v>
      </c>
      <c r="L1572" s="43">
        <f t="shared" si="488"/>
        <v>0</v>
      </c>
      <c r="M1572" s="217">
        <f t="shared" si="489"/>
        <v>0</v>
      </c>
      <c r="N1572" s="180">
        <v>18.8</v>
      </c>
      <c r="R1572" s="288">
        <v>6.5</v>
      </c>
      <c r="S1572" s="288"/>
      <c r="T1572" s="217">
        <f t="shared" si="499"/>
        <v>0</v>
      </c>
      <c r="U1572" s="288">
        <v>6</v>
      </c>
      <c r="V1572" s="288">
        <v>0</v>
      </c>
      <c r="W1572" s="203">
        <f t="shared" si="504"/>
        <v>0</v>
      </c>
      <c r="X1572" s="203">
        <f t="shared" si="505"/>
        <v>0</v>
      </c>
    </row>
    <row r="1573" spans="1:24" s="4" customFormat="1" ht="25.5" x14ac:dyDescent="0.2">
      <c r="A1573" s="744" t="s">
        <v>572</v>
      </c>
      <c r="B1573" s="243" t="s">
        <v>98</v>
      </c>
      <c r="C1573" s="353" t="s">
        <v>27</v>
      </c>
      <c r="D1573" s="353" t="s">
        <v>607</v>
      </c>
      <c r="E1573" s="369" t="s">
        <v>330</v>
      </c>
      <c r="F1573" s="369" t="s">
        <v>524</v>
      </c>
      <c r="G1573" s="519">
        <v>559.14070000000004</v>
      </c>
      <c r="H1573" s="288"/>
      <c r="I1573" s="519">
        <v>559.14070000000004</v>
      </c>
      <c r="J1573" s="288"/>
      <c r="K1573" s="43">
        <f t="shared" si="487"/>
        <v>0</v>
      </c>
      <c r="L1573" s="43">
        <f t="shared" si="488"/>
        <v>0</v>
      </c>
      <c r="M1573" s="217">
        <f t="shared" si="489"/>
        <v>0</v>
      </c>
      <c r="N1573" s="180">
        <v>235.1</v>
      </c>
      <c r="R1573" s="288">
        <v>379.99392</v>
      </c>
      <c r="S1573" s="288"/>
      <c r="T1573" s="217">
        <f t="shared" si="499"/>
        <v>0</v>
      </c>
      <c r="U1573" s="288">
        <v>291.88</v>
      </c>
      <c r="V1573" s="288">
        <v>0</v>
      </c>
      <c r="W1573" s="203">
        <f t="shared" si="504"/>
        <v>0</v>
      </c>
      <c r="X1573" s="203">
        <f t="shared" si="505"/>
        <v>0</v>
      </c>
    </row>
    <row r="1574" spans="1:24" s="4" customFormat="1" ht="15" x14ac:dyDescent="0.2">
      <c r="A1574" s="744" t="s">
        <v>233</v>
      </c>
      <c r="B1574" s="243" t="s">
        <v>98</v>
      </c>
      <c r="C1574" s="353" t="s">
        <v>27</v>
      </c>
      <c r="D1574" s="353" t="s">
        <v>607</v>
      </c>
      <c r="E1574" s="369" t="s">
        <v>330</v>
      </c>
      <c r="F1574" s="369" t="s">
        <v>635</v>
      </c>
      <c r="G1574" s="288">
        <v>15.12</v>
      </c>
      <c r="H1574" s="288"/>
      <c r="I1574" s="288">
        <v>15.12</v>
      </c>
      <c r="J1574" s="288"/>
      <c r="K1574" s="43">
        <f t="shared" si="487"/>
        <v>0</v>
      </c>
      <c r="L1574" s="43">
        <f t="shared" si="488"/>
        <v>0</v>
      </c>
      <c r="M1574" s="217">
        <f t="shared" si="489"/>
        <v>0</v>
      </c>
      <c r="N1574" s="180">
        <v>64</v>
      </c>
      <c r="R1574" s="288">
        <v>19</v>
      </c>
      <c r="S1574" s="288"/>
      <c r="T1574" s="217">
        <f t="shared" si="499"/>
        <v>0</v>
      </c>
      <c r="U1574" s="288">
        <v>50</v>
      </c>
      <c r="V1574" s="288">
        <v>0</v>
      </c>
      <c r="W1574" s="203">
        <f t="shared" si="504"/>
        <v>0</v>
      </c>
      <c r="X1574" s="203">
        <f t="shared" si="505"/>
        <v>0</v>
      </c>
    </row>
    <row r="1575" spans="1:24" s="4" customFormat="1" ht="15" x14ac:dyDescent="0.2">
      <c r="A1575" s="744" t="s">
        <v>1759</v>
      </c>
      <c r="B1575" s="243" t="s">
        <v>98</v>
      </c>
      <c r="C1575" s="353" t="s">
        <v>27</v>
      </c>
      <c r="D1575" s="353" t="s">
        <v>607</v>
      </c>
      <c r="E1575" s="369" t="s">
        <v>330</v>
      </c>
      <c r="F1575" s="369" t="s">
        <v>634</v>
      </c>
      <c r="G1575" s="288">
        <v>77</v>
      </c>
      <c r="H1575" s="288"/>
      <c r="I1575" s="288">
        <v>77</v>
      </c>
      <c r="J1575" s="288"/>
      <c r="K1575" s="43">
        <f t="shared" si="487"/>
        <v>0</v>
      </c>
      <c r="L1575" s="43">
        <f t="shared" si="488"/>
        <v>0</v>
      </c>
      <c r="M1575" s="217">
        <f t="shared" si="489"/>
        <v>0</v>
      </c>
      <c r="N1575" s="180">
        <v>95.1</v>
      </c>
      <c r="R1575" s="288">
        <v>85.1</v>
      </c>
      <c r="S1575" s="288"/>
      <c r="T1575" s="217">
        <f t="shared" si="499"/>
        <v>0</v>
      </c>
      <c r="U1575" s="288">
        <v>64.319999999999993</v>
      </c>
      <c r="V1575" s="288">
        <v>0</v>
      </c>
      <c r="W1575" s="203">
        <f t="shared" si="504"/>
        <v>0</v>
      </c>
      <c r="X1575" s="203">
        <f t="shared" si="505"/>
        <v>0</v>
      </c>
    </row>
    <row r="1576" spans="1:24" s="4" customFormat="1" ht="24.75" hidden="1" customHeight="1" x14ac:dyDescent="0.2">
      <c r="A1576" s="741" t="s">
        <v>1226</v>
      </c>
      <c r="B1576" s="306" t="s">
        <v>98</v>
      </c>
      <c r="C1576" s="354" t="s">
        <v>27</v>
      </c>
      <c r="D1576" s="354" t="s">
        <v>607</v>
      </c>
      <c r="E1576" s="390">
        <v>9990073250</v>
      </c>
      <c r="F1576" s="390"/>
      <c r="G1576" s="391">
        <f>SUBTOTAL(9,G1577:G1579)</f>
        <v>538.18500000000006</v>
      </c>
      <c r="H1576" s="391">
        <f>SUBTOTAL(9,H1577:H1579)</f>
        <v>0</v>
      </c>
      <c r="I1576" s="391">
        <f>SUBTOTAL(9,I1577:I1579)</f>
        <v>538.18500000000006</v>
      </c>
      <c r="J1576" s="391">
        <f>SUBTOTAL(9,J1577:J1579)</f>
        <v>0</v>
      </c>
      <c r="K1576" s="391">
        <f t="shared" si="487"/>
        <v>0</v>
      </c>
      <c r="L1576" s="391">
        <f t="shared" si="488"/>
        <v>0</v>
      </c>
      <c r="M1576" s="217">
        <f t="shared" si="489"/>
        <v>0</v>
      </c>
      <c r="N1576" s="180"/>
      <c r="R1576" s="391">
        <f>SUBTOTAL(9,R1577:R1579)</f>
        <v>211.12799999999999</v>
      </c>
      <c r="S1576" s="391">
        <f>SUBTOTAL(9,S1577:S1579)</f>
        <v>0</v>
      </c>
      <c r="T1576" s="217"/>
      <c r="U1576" s="391">
        <f>U1577+U1578</f>
        <v>127.84</v>
      </c>
      <c r="V1576" s="391">
        <f>V1577+V1578</f>
        <v>0</v>
      </c>
      <c r="W1576" s="203"/>
      <c r="X1576" s="203"/>
    </row>
    <row r="1577" spans="1:24" s="4" customFormat="1" ht="15" x14ac:dyDescent="0.2">
      <c r="A1577" s="744" t="s">
        <v>529</v>
      </c>
      <c r="B1577" s="243" t="s">
        <v>98</v>
      </c>
      <c r="C1577" s="353" t="s">
        <v>27</v>
      </c>
      <c r="D1577" s="353" t="s">
        <v>607</v>
      </c>
      <c r="E1577" s="369">
        <v>9990073250</v>
      </c>
      <c r="F1577" s="369">
        <v>121</v>
      </c>
      <c r="G1577" s="288">
        <v>397.99200000000002</v>
      </c>
      <c r="H1577" s="288"/>
      <c r="I1577" s="288">
        <v>397.99200000000002</v>
      </c>
      <c r="J1577" s="288"/>
      <c r="K1577" s="43">
        <f t="shared" si="487"/>
        <v>0</v>
      </c>
      <c r="L1577" s="43">
        <f t="shared" si="488"/>
        <v>0</v>
      </c>
      <c r="M1577" s="217">
        <f t="shared" si="489"/>
        <v>0</v>
      </c>
      <c r="N1577" s="180"/>
      <c r="R1577" s="288">
        <v>162.15667999999999</v>
      </c>
      <c r="S1577" s="288"/>
      <c r="T1577" s="217"/>
      <c r="U1577" s="288">
        <v>98.186999999999998</v>
      </c>
      <c r="V1577" s="288">
        <v>0</v>
      </c>
      <c r="W1577" s="203"/>
      <c r="X1577" s="203"/>
    </row>
    <row r="1578" spans="1:24" s="4" customFormat="1" ht="25.5" x14ac:dyDescent="0.2">
      <c r="A1578" s="744" t="s">
        <v>572</v>
      </c>
      <c r="B1578" s="243" t="s">
        <v>98</v>
      </c>
      <c r="C1578" s="353" t="s">
        <v>27</v>
      </c>
      <c r="D1578" s="353" t="s">
        <v>607</v>
      </c>
      <c r="E1578" s="369">
        <v>9990073250</v>
      </c>
      <c r="F1578" s="369">
        <v>129</v>
      </c>
      <c r="G1578" s="288">
        <v>120.193</v>
      </c>
      <c r="H1578" s="288"/>
      <c r="I1578" s="288">
        <v>120.193</v>
      </c>
      <c r="J1578" s="288"/>
      <c r="K1578" s="43">
        <f t="shared" si="487"/>
        <v>0</v>
      </c>
      <c r="L1578" s="43">
        <f t="shared" si="488"/>
        <v>0</v>
      </c>
      <c r="M1578" s="217">
        <f t="shared" si="489"/>
        <v>0</v>
      </c>
      <c r="N1578" s="180"/>
      <c r="R1578" s="288">
        <v>48.971319999999999</v>
      </c>
      <c r="S1578" s="288"/>
      <c r="T1578" s="217"/>
      <c r="U1578" s="288">
        <v>29.652999999999999</v>
      </c>
      <c r="V1578" s="288">
        <v>0</v>
      </c>
      <c r="W1578" s="203"/>
      <c r="X1578" s="203"/>
    </row>
    <row r="1579" spans="1:24" s="4" customFormat="1" ht="15" customHeight="1" x14ac:dyDescent="0.2">
      <c r="A1579" s="739" t="s">
        <v>1543</v>
      </c>
      <c r="B1579" s="243" t="s">
        <v>98</v>
      </c>
      <c r="C1579" s="353" t="s">
        <v>27</v>
      </c>
      <c r="D1579" s="353" t="s">
        <v>607</v>
      </c>
      <c r="E1579" s="369">
        <v>9990073250</v>
      </c>
      <c r="F1579" s="369">
        <v>244</v>
      </c>
      <c r="G1579" s="288">
        <v>20</v>
      </c>
      <c r="H1579" s="288"/>
      <c r="I1579" s="288">
        <v>20</v>
      </c>
      <c r="J1579" s="288"/>
      <c r="K1579" s="43">
        <f t="shared" si="487"/>
        <v>0</v>
      </c>
      <c r="L1579" s="43">
        <f t="shared" si="488"/>
        <v>0</v>
      </c>
      <c r="M1579" s="217">
        <f t="shared" si="489"/>
        <v>0</v>
      </c>
      <c r="N1579" s="180"/>
      <c r="R1579" s="288">
        <v>0</v>
      </c>
      <c r="S1579" s="288"/>
      <c r="T1579" s="217"/>
      <c r="U1579" s="288"/>
      <c r="V1579" s="288"/>
      <c r="W1579" s="203"/>
      <c r="X1579" s="203"/>
    </row>
    <row r="1580" spans="1:24" s="4" customFormat="1" ht="27" customHeight="1" x14ac:dyDescent="0.2">
      <c r="A1580" s="741" t="s">
        <v>2023</v>
      </c>
      <c r="B1580" s="306" t="s">
        <v>98</v>
      </c>
      <c r="C1580" s="354" t="s">
        <v>27</v>
      </c>
      <c r="D1580" s="354" t="s">
        <v>607</v>
      </c>
      <c r="E1580" s="390">
        <v>9990074670</v>
      </c>
      <c r="F1580" s="390"/>
      <c r="G1580" s="391">
        <f>G1581</f>
        <v>0</v>
      </c>
      <c r="H1580" s="391">
        <f t="shared" ref="H1580:L1580" si="506">H1581</f>
        <v>0</v>
      </c>
      <c r="I1580" s="391">
        <f t="shared" si="506"/>
        <v>2000</v>
      </c>
      <c r="J1580" s="391">
        <f t="shared" si="506"/>
        <v>0</v>
      </c>
      <c r="K1580" s="391">
        <f t="shared" si="506"/>
        <v>2000</v>
      </c>
      <c r="L1580" s="391">
        <f t="shared" si="506"/>
        <v>0</v>
      </c>
      <c r="M1580" s="217"/>
      <c r="N1580" s="180"/>
      <c r="R1580" s="288"/>
      <c r="S1580" s="288"/>
      <c r="T1580" s="217"/>
      <c r="U1580" s="288"/>
      <c r="V1580" s="288"/>
      <c r="W1580" s="203"/>
      <c r="X1580" s="203"/>
    </row>
    <row r="1581" spans="1:24" s="4" customFormat="1" ht="15" customHeight="1" x14ac:dyDescent="0.2">
      <c r="A1581" s="744" t="s">
        <v>1584</v>
      </c>
      <c r="B1581" s="243" t="s">
        <v>98</v>
      </c>
      <c r="C1581" s="353" t="s">
        <v>27</v>
      </c>
      <c r="D1581" s="353" t="s">
        <v>607</v>
      </c>
      <c r="E1581" s="369">
        <v>9990074670</v>
      </c>
      <c r="F1581" s="369">
        <v>540</v>
      </c>
      <c r="G1581" s="288">
        <v>0</v>
      </c>
      <c r="H1581" s="288"/>
      <c r="I1581" s="288">
        <v>2000</v>
      </c>
      <c r="J1581" s="288"/>
      <c r="K1581" s="43">
        <f t="shared" ref="K1581" si="507">I1581-G1581</f>
        <v>2000</v>
      </c>
      <c r="L1581" s="43">
        <f t="shared" ref="L1581" si="508">J1581-H1581</f>
        <v>0</v>
      </c>
      <c r="M1581" s="217"/>
      <c r="N1581" s="180"/>
      <c r="R1581" s="288"/>
      <c r="S1581" s="288"/>
      <c r="T1581" s="217"/>
      <c r="U1581" s="288"/>
      <c r="V1581" s="288"/>
      <c r="W1581" s="203"/>
      <c r="X1581" s="203"/>
    </row>
    <row r="1582" spans="1:24" s="4" customFormat="1" ht="15" x14ac:dyDescent="0.2">
      <c r="A1582" s="746" t="s">
        <v>1596</v>
      </c>
      <c r="B1582" s="306" t="s">
        <v>98</v>
      </c>
      <c r="C1582" s="354" t="s">
        <v>28</v>
      </c>
      <c r="D1582" s="354"/>
      <c r="E1582" s="450"/>
      <c r="F1582" s="450"/>
      <c r="G1582" s="591">
        <f>G1583</f>
        <v>8853.5329999999994</v>
      </c>
      <c r="H1582" s="591">
        <f>H1583</f>
        <v>0</v>
      </c>
      <c r="I1582" s="591">
        <f>I1583</f>
        <v>12912.151</v>
      </c>
      <c r="J1582" s="591">
        <f>J1583</f>
        <v>0</v>
      </c>
      <c r="K1582" s="591">
        <f t="shared" si="487"/>
        <v>4058.6180000000004</v>
      </c>
      <c r="L1582" s="591">
        <f t="shared" si="488"/>
        <v>0</v>
      </c>
      <c r="M1582" s="217">
        <f t="shared" si="489"/>
        <v>0</v>
      </c>
      <c r="N1582" s="178" t="e">
        <f>N1583</f>
        <v>#REF!</v>
      </c>
      <c r="R1582" s="591">
        <f>R1583</f>
        <v>10079.205</v>
      </c>
      <c r="S1582" s="591">
        <f>S1583</f>
        <v>0</v>
      </c>
      <c r="T1582" s="217">
        <f t="shared" si="499"/>
        <v>4058.6180000000004</v>
      </c>
      <c r="U1582" s="498">
        <f>U1583</f>
        <v>9556.0030000000006</v>
      </c>
      <c r="V1582" s="498">
        <f>V1583</f>
        <v>0</v>
      </c>
      <c r="W1582" s="203">
        <f t="shared" si="504"/>
        <v>-4058.6180000000004</v>
      </c>
      <c r="X1582" s="203">
        <f t="shared" si="505"/>
        <v>0</v>
      </c>
    </row>
    <row r="1583" spans="1:24" s="4" customFormat="1" ht="15" x14ac:dyDescent="0.2">
      <c r="A1583" s="746" t="s">
        <v>629</v>
      </c>
      <c r="B1583" s="306" t="s">
        <v>98</v>
      </c>
      <c r="C1583" s="354" t="s">
        <v>28</v>
      </c>
      <c r="D1583" s="354" t="s">
        <v>614</v>
      </c>
      <c r="E1583" s="450"/>
      <c r="F1583" s="450"/>
      <c r="G1583" s="591">
        <f>G1584+G1596</f>
        <v>8853.5329999999994</v>
      </c>
      <c r="H1583" s="591">
        <f>H1584+H1596</f>
        <v>0</v>
      </c>
      <c r="I1583" s="591">
        <f>I1584+I1596</f>
        <v>12912.151</v>
      </c>
      <c r="J1583" s="591">
        <f>J1584+J1596</f>
        <v>0</v>
      </c>
      <c r="K1583" s="591">
        <f t="shared" si="487"/>
        <v>4058.6180000000004</v>
      </c>
      <c r="L1583" s="591">
        <f t="shared" si="488"/>
        <v>0</v>
      </c>
      <c r="M1583" s="217">
        <f t="shared" si="489"/>
        <v>0</v>
      </c>
      <c r="N1583" s="178" t="e">
        <f>N1584+#REF!+#REF!</f>
        <v>#REF!</v>
      </c>
      <c r="R1583" s="591">
        <f>R1584+R1596</f>
        <v>10079.205</v>
      </c>
      <c r="S1583" s="591">
        <f>S1584+S1596</f>
        <v>0</v>
      </c>
      <c r="T1583" s="217">
        <f t="shared" si="499"/>
        <v>4058.6180000000004</v>
      </c>
      <c r="U1583" s="498">
        <f>U1584+U1596</f>
        <v>9556.0030000000006</v>
      </c>
      <c r="V1583" s="498">
        <f>V1584+V1596</f>
        <v>0</v>
      </c>
      <c r="W1583" s="203">
        <f t="shared" si="504"/>
        <v>-4058.6180000000004</v>
      </c>
      <c r="X1583" s="203">
        <f t="shared" si="505"/>
        <v>0</v>
      </c>
    </row>
    <row r="1584" spans="1:24" ht="15" customHeight="1" x14ac:dyDescent="0.2">
      <c r="A1584" s="746" t="s">
        <v>341</v>
      </c>
      <c r="B1584" s="306" t="s">
        <v>98</v>
      </c>
      <c r="C1584" s="354" t="s">
        <v>28</v>
      </c>
      <c r="D1584" s="354" t="s">
        <v>614</v>
      </c>
      <c r="E1584" s="450" t="s">
        <v>342</v>
      </c>
      <c r="F1584" s="450"/>
      <c r="G1584" s="591">
        <f t="shared" ref="G1584:J1585" si="509">G1585</f>
        <v>8853.5329999999994</v>
      </c>
      <c r="H1584" s="591">
        <f t="shared" si="509"/>
        <v>0</v>
      </c>
      <c r="I1584" s="591">
        <f t="shared" si="509"/>
        <v>12912.151</v>
      </c>
      <c r="J1584" s="591">
        <f t="shared" si="509"/>
        <v>0</v>
      </c>
      <c r="K1584" s="591">
        <f t="shared" si="487"/>
        <v>4058.6180000000004</v>
      </c>
      <c r="L1584" s="591">
        <f t="shared" si="488"/>
        <v>0</v>
      </c>
      <c r="M1584" s="217">
        <f t="shared" si="489"/>
        <v>0</v>
      </c>
      <c r="N1584" s="178" t="e">
        <f>N1585</f>
        <v>#REF!</v>
      </c>
      <c r="R1584" s="591">
        <f>R1585</f>
        <v>10079.205</v>
      </c>
      <c r="S1584" s="591">
        <f>S1585</f>
        <v>0</v>
      </c>
      <c r="T1584" s="217">
        <f t="shared" si="499"/>
        <v>4058.6180000000004</v>
      </c>
      <c r="U1584" s="498">
        <f>U1585</f>
        <v>9496.0030000000006</v>
      </c>
      <c r="V1584" s="498">
        <f>V1585</f>
        <v>0</v>
      </c>
      <c r="W1584" s="203">
        <f t="shared" si="504"/>
        <v>-4058.6180000000004</v>
      </c>
      <c r="X1584" s="203">
        <f t="shared" si="505"/>
        <v>0</v>
      </c>
    </row>
    <row r="1585" spans="1:24" ht="15" x14ac:dyDescent="0.2">
      <c r="A1585" s="746" t="s">
        <v>1317</v>
      </c>
      <c r="B1585" s="306" t="s">
        <v>98</v>
      </c>
      <c r="C1585" s="354" t="s">
        <v>28</v>
      </c>
      <c r="D1585" s="354" t="s">
        <v>614</v>
      </c>
      <c r="E1585" s="450" t="s">
        <v>344</v>
      </c>
      <c r="F1585" s="450"/>
      <c r="G1585" s="591">
        <f t="shared" si="509"/>
        <v>8853.5329999999994</v>
      </c>
      <c r="H1585" s="591">
        <f t="shared" si="509"/>
        <v>0</v>
      </c>
      <c r="I1585" s="591">
        <f t="shared" si="509"/>
        <v>12912.151</v>
      </c>
      <c r="J1585" s="591">
        <f t="shared" si="509"/>
        <v>0</v>
      </c>
      <c r="K1585" s="591">
        <f t="shared" ref="K1585:K1648" si="510">I1585-G1585</f>
        <v>4058.6180000000004</v>
      </c>
      <c r="L1585" s="591">
        <f t="shared" ref="L1585:L1648" si="511">J1585-H1585</f>
        <v>0</v>
      </c>
      <c r="M1585" s="217">
        <f t="shared" si="489"/>
        <v>0</v>
      </c>
      <c r="N1585" s="178" t="e">
        <f>N1586</f>
        <v>#REF!</v>
      </c>
      <c r="R1585" s="591">
        <f>R1586</f>
        <v>10079.205</v>
      </c>
      <c r="S1585" s="591">
        <f>S1586</f>
        <v>0</v>
      </c>
      <c r="T1585" s="217">
        <f t="shared" si="499"/>
        <v>4058.6180000000004</v>
      </c>
      <c r="U1585" s="498">
        <f>U1586</f>
        <v>9496.0030000000006</v>
      </c>
      <c r="V1585" s="498">
        <f>V1586</f>
        <v>0</v>
      </c>
      <c r="W1585" s="203">
        <f t="shared" si="504"/>
        <v>-4058.6180000000004</v>
      </c>
      <c r="X1585" s="203">
        <f t="shared" si="505"/>
        <v>0</v>
      </c>
    </row>
    <row r="1586" spans="1:24" ht="15" x14ac:dyDescent="0.2">
      <c r="A1586" s="746" t="s">
        <v>1758</v>
      </c>
      <c r="B1586" s="306" t="s">
        <v>98</v>
      </c>
      <c r="C1586" s="354" t="s">
        <v>28</v>
      </c>
      <c r="D1586" s="354" t="s">
        <v>614</v>
      </c>
      <c r="E1586" s="450">
        <v>7510200000</v>
      </c>
      <c r="F1586" s="450"/>
      <c r="G1586" s="591">
        <f>G1587+G1590+G1592+G1594</f>
        <v>8853.5329999999994</v>
      </c>
      <c r="H1586" s="591">
        <f>H1587+H1590+H1592+H1594</f>
        <v>0</v>
      </c>
      <c r="I1586" s="591">
        <f>I1587+I1590+I1592+I1594</f>
        <v>12912.151</v>
      </c>
      <c r="J1586" s="591">
        <f>J1587+J1590+J1592+J1594</f>
        <v>0</v>
      </c>
      <c r="K1586" s="591">
        <f t="shared" si="510"/>
        <v>4058.6180000000004</v>
      </c>
      <c r="L1586" s="591">
        <f t="shared" si="511"/>
        <v>0</v>
      </c>
      <c r="M1586" s="217">
        <f t="shared" si="489"/>
        <v>0</v>
      </c>
      <c r="N1586" s="178" t="e">
        <f>#REF!+#REF!+N1587+#REF!</f>
        <v>#REF!</v>
      </c>
      <c r="R1586" s="591">
        <f>R1587+R1590+R1592+R1594</f>
        <v>10079.205</v>
      </c>
      <c r="S1586" s="591">
        <f>S1587+S1590+S1592+S1594</f>
        <v>0</v>
      </c>
      <c r="T1586" s="217">
        <f t="shared" si="499"/>
        <v>4058.6180000000004</v>
      </c>
      <c r="U1586" s="498">
        <f>U1587+U1590+U1592+U1594</f>
        <v>9496.0030000000006</v>
      </c>
      <c r="V1586" s="498">
        <f>V1587+V1590+V1592+V1594</f>
        <v>0</v>
      </c>
      <c r="W1586" s="203">
        <f t="shared" si="504"/>
        <v>-4058.6180000000004</v>
      </c>
      <c r="X1586" s="203">
        <f t="shared" si="505"/>
        <v>0</v>
      </c>
    </row>
    <row r="1587" spans="1:24" s="4" customFormat="1" ht="15" x14ac:dyDescent="0.2">
      <c r="A1587" s="746" t="s">
        <v>34</v>
      </c>
      <c r="B1587" s="306" t="s">
        <v>98</v>
      </c>
      <c r="C1587" s="354" t="s">
        <v>28</v>
      </c>
      <c r="D1587" s="354" t="s">
        <v>614</v>
      </c>
      <c r="E1587" s="450">
        <v>7510213150</v>
      </c>
      <c r="F1587" s="450"/>
      <c r="G1587" s="591">
        <f>G1588+G1589</f>
        <v>3169.6030000000001</v>
      </c>
      <c r="H1587" s="591">
        <f>H1588+H1589</f>
        <v>0</v>
      </c>
      <c r="I1587" s="591">
        <f>I1588+I1589</f>
        <v>3322.28305</v>
      </c>
      <c r="J1587" s="591">
        <f>J1588+J1589</f>
        <v>0</v>
      </c>
      <c r="K1587" s="591">
        <f t="shared" si="510"/>
        <v>152.68004999999994</v>
      </c>
      <c r="L1587" s="591">
        <f t="shared" si="511"/>
        <v>0</v>
      </c>
      <c r="M1587" s="217">
        <f t="shared" si="489"/>
        <v>0</v>
      </c>
      <c r="N1587" s="178">
        <f>N1588</f>
        <v>3139.5610000000001</v>
      </c>
      <c r="R1587" s="591">
        <f>R1588+R1589</f>
        <v>5189.1490000000003</v>
      </c>
      <c r="S1587" s="591">
        <f>S1588+S1589</f>
        <v>0</v>
      </c>
      <c r="T1587" s="217">
        <f t="shared" si="499"/>
        <v>152.68004999999994</v>
      </c>
      <c r="U1587" s="498">
        <f>U1588+U1589</f>
        <v>7674.768</v>
      </c>
      <c r="V1587" s="498">
        <f>V1588+V1589</f>
        <v>0</v>
      </c>
      <c r="W1587" s="203">
        <f t="shared" si="504"/>
        <v>-152.68004999999994</v>
      </c>
      <c r="X1587" s="203">
        <f t="shared" si="505"/>
        <v>0</v>
      </c>
    </row>
    <row r="1588" spans="1:24" s="4" customFormat="1" ht="25.5" x14ac:dyDescent="0.2">
      <c r="A1588" s="744" t="s">
        <v>646</v>
      </c>
      <c r="B1588" s="243" t="s">
        <v>98</v>
      </c>
      <c r="C1588" s="353" t="s">
        <v>28</v>
      </c>
      <c r="D1588" s="353" t="s">
        <v>614</v>
      </c>
      <c r="E1588" s="369">
        <v>7510213150</v>
      </c>
      <c r="F1588" s="369" t="s">
        <v>128</v>
      </c>
      <c r="G1588" s="288">
        <v>3169.6030000000001</v>
      </c>
      <c r="H1588" s="288"/>
      <c r="I1588" s="288">
        <v>3322.28305</v>
      </c>
      <c r="J1588" s="288"/>
      <c r="K1588" s="43">
        <f t="shared" si="510"/>
        <v>152.68004999999994</v>
      </c>
      <c r="L1588" s="43">
        <f t="shared" si="511"/>
        <v>0</v>
      </c>
      <c r="M1588" s="217">
        <f t="shared" si="489"/>
        <v>0</v>
      </c>
      <c r="N1588" s="180">
        <v>3139.5610000000001</v>
      </c>
      <c r="R1588" s="288">
        <v>5189.1490000000003</v>
      </c>
      <c r="S1588" s="288"/>
      <c r="T1588" s="217">
        <f t="shared" si="499"/>
        <v>152.68004999999994</v>
      </c>
      <c r="U1588" s="288">
        <v>7674.768</v>
      </c>
      <c r="V1588" s="288">
        <v>0</v>
      </c>
      <c r="W1588" s="203">
        <f t="shared" si="504"/>
        <v>-152.68004999999994</v>
      </c>
      <c r="X1588" s="203">
        <f t="shared" si="505"/>
        <v>0</v>
      </c>
    </row>
    <row r="1589" spans="1:24" s="4" customFormat="1" ht="42" hidden="1" customHeight="1" x14ac:dyDescent="0.2">
      <c r="A1589" s="124" t="s">
        <v>1543</v>
      </c>
      <c r="B1589" s="243" t="s">
        <v>98</v>
      </c>
      <c r="C1589" s="353" t="s">
        <v>28</v>
      </c>
      <c r="D1589" s="353" t="s">
        <v>614</v>
      </c>
      <c r="E1589" s="369" t="s">
        <v>577</v>
      </c>
      <c r="F1589" s="369" t="s">
        <v>128</v>
      </c>
      <c r="G1589" s="288"/>
      <c r="H1589" s="288">
        <v>0</v>
      </c>
      <c r="I1589" s="288"/>
      <c r="J1589" s="288">
        <v>0</v>
      </c>
      <c r="K1589" s="43">
        <f t="shared" si="510"/>
        <v>0</v>
      </c>
      <c r="L1589" s="43">
        <f t="shared" si="511"/>
        <v>0</v>
      </c>
      <c r="M1589" s="217">
        <f t="shared" si="489"/>
        <v>0</v>
      </c>
      <c r="N1589" s="180"/>
      <c r="R1589" s="288"/>
      <c r="S1589" s="288">
        <v>0</v>
      </c>
      <c r="T1589" s="217">
        <f t="shared" si="499"/>
        <v>0</v>
      </c>
      <c r="U1589" s="288"/>
      <c r="V1589" s="288">
        <v>0</v>
      </c>
      <c r="W1589" s="203">
        <f t="shared" si="504"/>
        <v>0</v>
      </c>
      <c r="X1589" s="203">
        <f t="shared" si="505"/>
        <v>0</v>
      </c>
    </row>
    <row r="1590" spans="1:24" s="4" customFormat="1" ht="15" x14ac:dyDescent="0.2">
      <c r="A1590" s="746" t="s">
        <v>1383</v>
      </c>
      <c r="B1590" s="306" t="s">
        <v>98</v>
      </c>
      <c r="C1590" s="354" t="s">
        <v>28</v>
      </c>
      <c r="D1590" s="354" t="s">
        <v>614</v>
      </c>
      <c r="E1590" s="599" t="s">
        <v>1572</v>
      </c>
      <c r="F1590" s="450"/>
      <c r="G1590" s="591">
        <f>SUM(G1591:G1591)</f>
        <v>5683.93</v>
      </c>
      <c r="H1590" s="591">
        <f>SUM(H1591:H1591)</f>
        <v>0</v>
      </c>
      <c r="I1590" s="591">
        <f>SUM(I1591:I1591)</f>
        <v>5683.93</v>
      </c>
      <c r="J1590" s="591">
        <f>SUM(J1591:J1591)</f>
        <v>0</v>
      </c>
      <c r="K1590" s="591">
        <f t="shared" si="510"/>
        <v>0</v>
      </c>
      <c r="L1590" s="591">
        <f t="shared" si="511"/>
        <v>0</v>
      </c>
      <c r="M1590" s="217">
        <f t="shared" si="489"/>
        <v>0</v>
      </c>
      <c r="N1590" s="180"/>
      <c r="R1590" s="591">
        <f>SUM(R1591:R1591)</f>
        <v>733.9</v>
      </c>
      <c r="S1590" s="591">
        <f>SUM(S1591:S1591)</f>
        <v>0</v>
      </c>
      <c r="T1590" s="217"/>
      <c r="U1590" s="498">
        <f>SUM(U1591:U1591)</f>
        <v>237.05500000000001</v>
      </c>
      <c r="V1590" s="498">
        <f>SUM(V1591:V1591)</f>
        <v>0</v>
      </c>
      <c r="W1590" s="203">
        <f t="shared" si="504"/>
        <v>0</v>
      </c>
      <c r="X1590" s="203">
        <f t="shared" si="505"/>
        <v>0</v>
      </c>
    </row>
    <row r="1591" spans="1:24" s="4" customFormat="1" ht="25.5" x14ac:dyDescent="0.2">
      <c r="A1591" s="744" t="s">
        <v>646</v>
      </c>
      <c r="B1591" s="243" t="s">
        <v>98</v>
      </c>
      <c r="C1591" s="353" t="s">
        <v>28</v>
      </c>
      <c r="D1591" s="353" t="s">
        <v>614</v>
      </c>
      <c r="E1591" s="386" t="s">
        <v>1572</v>
      </c>
      <c r="F1591" s="369" t="s">
        <v>128</v>
      </c>
      <c r="G1591" s="288">
        <v>5683.93</v>
      </c>
      <c r="H1591" s="288"/>
      <c r="I1591" s="288">
        <v>5683.93</v>
      </c>
      <c r="J1591" s="288"/>
      <c r="K1591" s="43">
        <f t="shared" si="510"/>
        <v>0</v>
      </c>
      <c r="L1591" s="43">
        <f t="shared" si="511"/>
        <v>0</v>
      </c>
      <c r="M1591" s="217">
        <f t="shared" si="489"/>
        <v>0</v>
      </c>
      <c r="N1591" s="180"/>
      <c r="R1591" s="288">
        <v>733.9</v>
      </c>
      <c r="S1591" s="288"/>
      <c r="T1591" s="217"/>
      <c r="U1591" s="288">
        <v>237.05500000000001</v>
      </c>
      <c r="V1591" s="288">
        <v>0</v>
      </c>
      <c r="W1591" s="203">
        <f t="shared" si="504"/>
        <v>0</v>
      </c>
      <c r="X1591" s="203">
        <f t="shared" si="505"/>
        <v>0</v>
      </c>
    </row>
    <row r="1592" spans="1:24" s="4" customFormat="1" ht="36.75" hidden="1" customHeight="1" x14ac:dyDescent="0.2">
      <c r="A1592" s="451" t="s">
        <v>1543</v>
      </c>
      <c r="B1592" s="306" t="s">
        <v>98</v>
      </c>
      <c r="C1592" s="354" t="s">
        <v>28</v>
      </c>
      <c r="D1592" s="354" t="s">
        <v>614</v>
      </c>
      <c r="E1592" s="450" t="s">
        <v>1030</v>
      </c>
      <c r="F1592" s="450"/>
      <c r="G1592" s="498">
        <f>SUM(G1593:G1593)</f>
        <v>0</v>
      </c>
      <c r="H1592" s="498">
        <f>SUM(H1593:H1593)</f>
        <v>0</v>
      </c>
      <c r="I1592" s="591">
        <f>SUM(I1593:I1593)</f>
        <v>0</v>
      </c>
      <c r="J1592" s="591">
        <f>SUM(J1593:J1593)</f>
        <v>0</v>
      </c>
      <c r="K1592" s="591">
        <f t="shared" si="510"/>
        <v>0</v>
      </c>
      <c r="L1592" s="591">
        <f t="shared" si="511"/>
        <v>0</v>
      </c>
      <c r="M1592" s="217">
        <f t="shared" si="489"/>
        <v>0</v>
      </c>
      <c r="N1592" s="180"/>
      <c r="R1592" s="591">
        <f>SUM(R1593:R1593)</f>
        <v>0</v>
      </c>
      <c r="S1592" s="591">
        <f>SUM(S1593:S1593)</f>
        <v>0</v>
      </c>
      <c r="T1592" s="217"/>
      <c r="U1592" s="498">
        <f>SUM(U1593:U1593)</f>
        <v>0</v>
      </c>
      <c r="V1592" s="498">
        <f>SUM(V1593:V1593)</f>
        <v>0</v>
      </c>
      <c r="W1592" s="203">
        <f t="shared" si="504"/>
        <v>0</v>
      </c>
      <c r="X1592" s="203">
        <f t="shared" si="505"/>
        <v>0</v>
      </c>
    </row>
    <row r="1593" spans="1:24" s="4" customFormat="1" ht="36.75" hidden="1" customHeight="1" x14ac:dyDescent="0.2">
      <c r="A1593" s="124" t="s">
        <v>1543</v>
      </c>
      <c r="B1593" s="243" t="s">
        <v>98</v>
      </c>
      <c r="C1593" s="353" t="s">
        <v>28</v>
      </c>
      <c r="D1593" s="353" t="s">
        <v>614</v>
      </c>
      <c r="E1593" s="369" t="s">
        <v>1030</v>
      </c>
      <c r="F1593" s="369" t="s">
        <v>128</v>
      </c>
      <c r="G1593" s="288"/>
      <c r="H1593" s="288"/>
      <c r="I1593" s="288"/>
      <c r="J1593" s="288"/>
      <c r="K1593" s="43">
        <f t="shared" si="510"/>
        <v>0</v>
      </c>
      <c r="L1593" s="43">
        <f t="shared" si="511"/>
        <v>0</v>
      </c>
      <c r="M1593" s="217">
        <f t="shared" si="489"/>
        <v>0</v>
      </c>
      <c r="N1593" s="180"/>
      <c r="R1593" s="288"/>
      <c r="S1593" s="288"/>
      <c r="T1593" s="217"/>
      <c r="U1593" s="288"/>
      <c r="V1593" s="288"/>
      <c r="W1593" s="203">
        <f t="shared" si="504"/>
        <v>0</v>
      </c>
      <c r="X1593" s="203">
        <f t="shared" si="505"/>
        <v>0</v>
      </c>
    </row>
    <row r="1594" spans="1:24" s="4" customFormat="1" ht="25.5" x14ac:dyDescent="0.2">
      <c r="A1594" s="746" t="s">
        <v>2004</v>
      </c>
      <c r="B1594" s="306" t="s">
        <v>98</v>
      </c>
      <c r="C1594" s="354" t="s">
        <v>28</v>
      </c>
      <c r="D1594" s="354" t="s">
        <v>614</v>
      </c>
      <c r="E1594" s="719" t="s">
        <v>2024</v>
      </c>
      <c r="F1594" s="450"/>
      <c r="G1594" s="591">
        <f>SUM(G1595:G1595)</f>
        <v>0</v>
      </c>
      <c r="H1594" s="591">
        <f>SUM(H1595:H1595)</f>
        <v>0</v>
      </c>
      <c r="I1594" s="591">
        <f>SUM(I1595:I1595)</f>
        <v>3905.93795</v>
      </c>
      <c r="J1594" s="591">
        <f>SUM(J1595:J1595)</f>
        <v>0</v>
      </c>
      <c r="K1594" s="591">
        <f t="shared" si="510"/>
        <v>3905.93795</v>
      </c>
      <c r="L1594" s="591">
        <f t="shared" si="511"/>
        <v>0</v>
      </c>
      <c r="M1594" s="217">
        <f t="shared" si="489"/>
        <v>0</v>
      </c>
      <c r="N1594" s="180"/>
      <c r="R1594" s="591">
        <f>SUM(R1595:R1595)</f>
        <v>4156.1559999999999</v>
      </c>
      <c r="S1594" s="591">
        <f>SUM(S1595:S1595)</f>
        <v>0</v>
      </c>
      <c r="T1594" s="217"/>
      <c r="U1594" s="498">
        <f>SUM(U1595:U1595)</f>
        <v>1584.18</v>
      </c>
      <c r="V1594" s="498">
        <f>SUM(V1595:V1595)</f>
        <v>0</v>
      </c>
      <c r="W1594" s="203">
        <f t="shared" si="504"/>
        <v>-3905.93795</v>
      </c>
      <c r="X1594" s="203">
        <f t="shared" si="505"/>
        <v>0</v>
      </c>
    </row>
    <row r="1595" spans="1:24" s="4" customFormat="1" ht="25.5" x14ac:dyDescent="0.2">
      <c r="A1595" s="739" t="s">
        <v>1583</v>
      </c>
      <c r="B1595" s="243" t="s">
        <v>98</v>
      </c>
      <c r="C1595" s="353" t="s">
        <v>28</v>
      </c>
      <c r="D1595" s="353" t="s">
        <v>614</v>
      </c>
      <c r="E1595" s="386" t="s">
        <v>2025</v>
      </c>
      <c r="F1595" s="369" t="s">
        <v>128</v>
      </c>
      <c r="G1595" s="288"/>
      <c r="H1595" s="288"/>
      <c r="I1595" s="288">
        <v>3905.93795</v>
      </c>
      <c r="J1595" s="288"/>
      <c r="K1595" s="43">
        <f t="shared" si="510"/>
        <v>3905.93795</v>
      </c>
      <c r="L1595" s="43">
        <f t="shared" si="511"/>
        <v>0</v>
      </c>
      <c r="M1595" s="217">
        <f t="shared" si="489"/>
        <v>0</v>
      </c>
      <c r="N1595" s="180"/>
      <c r="R1595" s="288">
        <v>4156.1559999999999</v>
      </c>
      <c r="S1595" s="288"/>
      <c r="T1595" s="217"/>
      <c r="U1595" s="288">
        <v>1584.18</v>
      </c>
      <c r="V1595" s="288"/>
      <c r="W1595" s="203">
        <f t="shared" si="504"/>
        <v>-3905.93795</v>
      </c>
      <c r="X1595" s="203">
        <f t="shared" si="505"/>
        <v>0</v>
      </c>
    </row>
    <row r="1596" spans="1:24" s="247" customFormat="1" ht="17.25" hidden="1" customHeight="1" x14ac:dyDescent="0.2">
      <c r="A1596" s="451" t="s">
        <v>1543</v>
      </c>
      <c r="B1596" s="306" t="s">
        <v>98</v>
      </c>
      <c r="C1596" s="354" t="s">
        <v>28</v>
      </c>
      <c r="D1596" s="354" t="s">
        <v>614</v>
      </c>
      <c r="E1596" s="450" t="s">
        <v>312</v>
      </c>
      <c r="F1596" s="450"/>
      <c r="G1596" s="498">
        <f>G1597+G1601+G1603+G1605+G1599</f>
        <v>0</v>
      </c>
      <c r="H1596" s="498">
        <f>H1597+H1601+H1603+H1605+H1599</f>
        <v>0</v>
      </c>
      <c r="I1596" s="591">
        <f>I1597+I1601+I1603+I1605+I1599</f>
        <v>0</v>
      </c>
      <c r="J1596" s="591">
        <f>J1597+J1601+J1603+J1605+J1599</f>
        <v>0</v>
      </c>
      <c r="K1596" s="591">
        <f t="shared" si="510"/>
        <v>0</v>
      </c>
      <c r="L1596" s="591">
        <f t="shared" si="511"/>
        <v>0</v>
      </c>
      <c r="M1596" s="217">
        <f t="shared" si="489"/>
        <v>0</v>
      </c>
      <c r="N1596" s="127"/>
      <c r="O1596" s="127"/>
      <c r="P1596" s="127"/>
      <c r="Q1596" s="127"/>
      <c r="R1596" s="591">
        <f>R1597+R1601+R1603+R1605+R1599</f>
        <v>0</v>
      </c>
      <c r="S1596" s="591">
        <f>S1597+S1601+S1603+S1605+S1599</f>
        <v>0</v>
      </c>
      <c r="T1596" s="127">
        <f>T1597+T1601+T1603+T1605+T1599</f>
        <v>0</v>
      </c>
      <c r="U1596" s="498">
        <f>U1597+U1601+U1603+U1605+U1599</f>
        <v>60</v>
      </c>
      <c r="V1596" s="498">
        <f>V1597+V1601+V1603+V1605+V1599</f>
        <v>0</v>
      </c>
      <c r="W1596" s="203">
        <f t="shared" si="504"/>
        <v>0</v>
      </c>
      <c r="X1596" s="203">
        <f t="shared" si="505"/>
        <v>0</v>
      </c>
    </row>
    <row r="1597" spans="1:24" ht="15" hidden="1" x14ac:dyDescent="0.2">
      <c r="A1597" s="451" t="s">
        <v>1543</v>
      </c>
      <c r="B1597" s="306" t="s">
        <v>98</v>
      </c>
      <c r="C1597" s="354" t="s">
        <v>28</v>
      </c>
      <c r="D1597" s="354" t="s">
        <v>614</v>
      </c>
      <c r="E1597" s="450" t="s">
        <v>879</v>
      </c>
      <c r="F1597" s="450"/>
      <c r="G1597" s="498">
        <f>G1598</f>
        <v>0</v>
      </c>
      <c r="H1597" s="498">
        <f>H1598</f>
        <v>0</v>
      </c>
      <c r="I1597" s="591">
        <f>I1598</f>
        <v>0</v>
      </c>
      <c r="J1597" s="591">
        <f>J1598</f>
        <v>0</v>
      </c>
      <c r="K1597" s="591">
        <f t="shared" si="510"/>
        <v>0</v>
      </c>
      <c r="L1597" s="591">
        <f t="shared" si="511"/>
        <v>0</v>
      </c>
      <c r="M1597" s="217">
        <f t="shared" si="489"/>
        <v>0</v>
      </c>
      <c r="N1597" s="43"/>
      <c r="R1597" s="591">
        <f>R1598</f>
        <v>0</v>
      </c>
      <c r="S1597" s="591">
        <f>S1598</f>
        <v>0</v>
      </c>
      <c r="T1597" s="217"/>
      <c r="U1597" s="498">
        <f>U1598</f>
        <v>0</v>
      </c>
      <c r="V1597" s="498">
        <f>V1598</f>
        <v>0</v>
      </c>
      <c r="W1597" s="203">
        <f t="shared" si="504"/>
        <v>0</v>
      </c>
      <c r="X1597" s="203">
        <f t="shared" si="505"/>
        <v>0</v>
      </c>
    </row>
    <row r="1598" spans="1:24" ht="15" hidden="1" x14ac:dyDescent="0.2">
      <c r="A1598" s="124" t="s">
        <v>1543</v>
      </c>
      <c r="B1598" s="243" t="s">
        <v>98</v>
      </c>
      <c r="C1598" s="353" t="s">
        <v>28</v>
      </c>
      <c r="D1598" s="353" t="s">
        <v>614</v>
      </c>
      <c r="E1598" s="369" t="s">
        <v>879</v>
      </c>
      <c r="F1598" s="369" t="s">
        <v>634</v>
      </c>
      <c r="G1598" s="288"/>
      <c r="H1598" s="288"/>
      <c r="I1598" s="288"/>
      <c r="J1598" s="288"/>
      <c r="K1598" s="43">
        <f t="shared" si="510"/>
        <v>0</v>
      </c>
      <c r="L1598" s="43">
        <f t="shared" si="511"/>
        <v>0</v>
      </c>
      <c r="M1598" s="217">
        <f t="shared" ref="M1598:M1663" si="512">I1598-G1598-K1598</f>
        <v>0</v>
      </c>
      <c r="N1598" s="43"/>
      <c r="R1598" s="288"/>
      <c r="S1598" s="288"/>
      <c r="T1598" s="217"/>
      <c r="U1598" s="288"/>
      <c r="V1598" s="288"/>
      <c r="W1598" s="203">
        <f t="shared" si="504"/>
        <v>0</v>
      </c>
      <c r="X1598" s="203">
        <f t="shared" si="505"/>
        <v>0</v>
      </c>
    </row>
    <row r="1599" spans="1:24" ht="12" hidden="1" customHeight="1" x14ac:dyDescent="0.2">
      <c r="A1599" s="451" t="s">
        <v>1543</v>
      </c>
      <c r="B1599" s="306" t="s">
        <v>98</v>
      </c>
      <c r="C1599" s="354" t="s">
        <v>28</v>
      </c>
      <c r="D1599" s="354" t="s">
        <v>614</v>
      </c>
      <c r="E1599" s="450" t="s">
        <v>536</v>
      </c>
      <c r="F1599" s="450"/>
      <c r="G1599" s="498">
        <f>G1600</f>
        <v>0</v>
      </c>
      <c r="H1599" s="498">
        <f>H1600</f>
        <v>0</v>
      </c>
      <c r="I1599" s="591">
        <f>I1600</f>
        <v>0</v>
      </c>
      <c r="J1599" s="591">
        <f>J1600</f>
        <v>0</v>
      </c>
      <c r="K1599" s="591">
        <f t="shared" si="510"/>
        <v>0</v>
      </c>
      <c r="L1599" s="591">
        <f t="shared" si="511"/>
        <v>0</v>
      </c>
      <c r="M1599" s="217">
        <f t="shared" si="512"/>
        <v>0</v>
      </c>
      <c r="N1599" s="42">
        <f>N1600</f>
        <v>73.17</v>
      </c>
      <c r="R1599" s="591">
        <f>R1600</f>
        <v>0</v>
      </c>
      <c r="S1599" s="591">
        <f>S1600</f>
        <v>0</v>
      </c>
      <c r="T1599" s="217">
        <f>I1599-G1599</f>
        <v>0</v>
      </c>
      <c r="U1599" s="498">
        <f>U1600</f>
        <v>60</v>
      </c>
      <c r="V1599" s="498">
        <f>V1600</f>
        <v>0</v>
      </c>
      <c r="W1599" s="203">
        <f t="shared" si="504"/>
        <v>0</v>
      </c>
      <c r="X1599" s="203">
        <f t="shared" si="505"/>
        <v>0</v>
      </c>
    </row>
    <row r="1600" spans="1:24" ht="16.5" hidden="1" customHeight="1" x14ac:dyDescent="0.2">
      <c r="A1600" s="124" t="s">
        <v>1543</v>
      </c>
      <c r="B1600" s="243" t="s">
        <v>98</v>
      </c>
      <c r="C1600" s="353" t="s">
        <v>28</v>
      </c>
      <c r="D1600" s="353" t="s">
        <v>614</v>
      </c>
      <c r="E1600" s="369" t="s">
        <v>536</v>
      </c>
      <c r="F1600" s="369" t="s">
        <v>579</v>
      </c>
      <c r="G1600" s="288"/>
      <c r="H1600" s="288"/>
      <c r="I1600" s="288"/>
      <c r="J1600" s="288"/>
      <c r="K1600" s="43">
        <f t="shared" si="510"/>
        <v>0</v>
      </c>
      <c r="L1600" s="43">
        <f t="shared" si="511"/>
        <v>0</v>
      </c>
      <c r="M1600" s="217">
        <f t="shared" si="512"/>
        <v>0</v>
      </c>
      <c r="N1600" s="43">
        <v>73.17</v>
      </c>
      <c r="R1600" s="288"/>
      <c r="S1600" s="288"/>
      <c r="T1600" s="217">
        <f>I1600-G1600</f>
        <v>0</v>
      </c>
      <c r="U1600" s="288">
        <v>60</v>
      </c>
      <c r="V1600" s="288">
        <v>0</v>
      </c>
      <c r="W1600" s="203">
        <f t="shared" si="504"/>
        <v>0</v>
      </c>
      <c r="X1600" s="203">
        <f t="shared" si="505"/>
        <v>0</v>
      </c>
    </row>
    <row r="1601" spans="1:24" ht="15" hidden="1" x14ac:dyDescent="0.2">
      <c r="A1601" s="451" t="s">
        <v>1543</v>
      </c>
      <c r="B1601" s="306" t="s">
        <v>98</v>
      </c>
      <c r="C1601" s="354" t="s">
        <v>28</v>
      </c>
      <c r="D1601" s="354" t="s">
        <v>614</v>
      </c>
      <c r="E1601" s="450" t="s">
        <v>1008</v>
      </c>
      <c r="F1601" s="450"/>
      <c r="G1601" s="498">
        <f>G1602</f>
        <v>0</v>
      </c>
      <c r="H1601" s="498">
        <f>H1602</f>
        <v>0</v>
      </c>
      <c r="I1601" s="591">
        <f>I1602</f>
        <v>0</v>
      </c>
      <c r="J1601" s="591">
        <f>J1602</f>
        <v>0</v>
      </c>
      <c r="K1601" s="591">
        <f t="shared" si="510"/>
        <v>0</v>
      </c>
      <c r="L1601" s="591">
        <f t="shared" si="511"/>
        <v>0</v>
      </c>
      <c r="M1601" s="217">
        <f t="shared" si="512"/>
        <v>0</v>
      </c>
      <c r="N1601" s="43"/>
      <c r="R1601" s="591">
        <f>R1602</f>
        <v>0</v>
      </c>
      <c r="S1601" s="591">
        <f>S1602</f>
        <v>0</v>
      </c>
      <c r="T1601" s="217"/>
      <c r="U1601" s="498">
        <f>U1602</f>
        <v>0</v>
      </c>
      <c r="V1601" s="498">
        <f>V1602</f>
        <v>0</v>
      </c>
      <c r="W1601" s="203">
        <f t="shared" si="504"/>
        <v>0</v>
      </c>
      <c r="X1601" s="203">
        <f t="shared" si="505"/>
        <v>0</v>
      </c>
    </row>
    <row r="1602" spans="1:24" ht="15" hidden="1" x14ac:dyDescent="0.2">
      <c r="A1602" s="124" t="s">
        <v>1543</v>
      </c>
      <c r="B1602" s="243" t="s">
        <v>98</v>
      </c>
      <c r="C1602" s="353" t="s">
        <v>28</v>
      </c>
      <c r="D1602" s="353" t="s">
        <v>614</v>
      </c>
      <c r="E1602" s="369" t="s">
        <v>1008</v>
      </c>
      <c r="F1602" s="369" t="s">
        <v>44</v>
      </c>
      <c r="G1602" s="288"/>
      <c r="H1602" s="288"/>
      <c r="I1602" s="288"/>
      <c r="J1602" s="288"/>
      <c r="K1602" s="43">
        <f t="shared" si="510"/>
        <v>0</v>
      </c>
      <c r="L1602" s="43">
        <f t="shared" si="511"/>
        <v>0</v>
      </c>
      <c r="M1602" s="217">
        <f t="shared" si="512"/>
        <v>0</v>
      </c>
      <c r="N1602" s="43"/>
      <c r="R1602" s="288"/>
      <c r="S1602" s="288"/>
      <c r="T1602" s="217"/>
      <c r="U1602" s="288"/>
      <c r="V1602" s="288"/>
      <c r="W1602" s="203">
        <f t="shared" si="504"/>
        <v>0</v>
      </c>
      <c r="X1602" s="203">
        <f t="shared" si="505"/>
        <v>0</v>
      </c>
    </row>
    <row r="1603" spans="1:24" ht="27" hidden="1" customHeight="1" x14ac:dyDescent="0.2">
      <c r="A1603" s="451" t="s">
        <v>1543</v>
      </c>
      <c r="B1603" s="306" t="s">
        <v>98</v>
      </c>
      <c r="C1603" s="354" t="s">
        <v>28</v>
      </c>
      <c r="D1603" s="354" t="s">
        <v>614</v>
      </c>
      <c r="E1603" s="450" t="s">
        <v>879</v>
      </c>
      <c r="F1603" s="450"/>
      <c r="G1603" s="498">
        <f>G1604</f>
        <v>0</v>
      </c>
      <c r="H1603" s="498">
        <f>H1604</f>
        <v>0</v>
      </c>
      <c r="I1603" s="591">
        <f>I1604</f>
        <v>0</v>
      </c>
      <c r="J1603" s="591">
        <f>J1604</f>
        <v>0</v>
      </c>
      <c r="K1603" s="591">
        <f t="shared" si="510"/>
        <v>0</v>
      </c>
      <c r="L1603" s="591">
        <f t="shared" si="511"/>
        <v>0</v>
      </c>
      <c r="M1603" s="217">
        <f t="shared" si="512"/>
        <v>0</v>
      </c>
      <c r="N1603" s="43"/>
      <c r="R1603" s="591">
        <f>R1604</f>
        <v>0</v>
      </c>
      <c r="S1603" s="591">
        <f>S1604</f>
        <v>0</v>
      </c>
      <c r="T1603" s="217"/>
      <c r="U1603" s="498">
        <f>U1604</f>
        <v>0</v>
      </c>
      <c r="V1603" s="498">
        <f>V1604</f>
        <v>0</v>
      </c>
      <c r="W1603" s="203">
        <f t="shared" si="504"/>
        <v>0</v>
      </c>
      <c r="X1603" s="203">
        <f t="shared" si="505"/>
        <v>0</v>
      </c>
    </row>
    <row r="1604" spans="1:24" ht="15" hidden="1" x14ac:dyDescent="0.2">
      <c r="A1604" s="124" t="s">
        <v>1543</v>
      </c>
      <c r="B1604" s="243" t="s">
        <v>98</v>
      </c>
      <c r="C1604" s="353" t="s">
        <v>28</v>
      </c>
      <c r="D1604" s="353" t="s">
        <v>614</v>
      </c>
      <c r="E1604" s="369" t="s">
        <v>879</v>
      </c>
      <c r="F1604" s="369" t="s">
        <v>634</v>
      </c>
      <c r="G1604" s="288"/>
      <c r="H1604" s="288"/>
      <c r="I1604" s="288"/>
      <c r="J1604" s="288"/>
      <c r="K1604" s="43">
        <f t="shared" si="510"/>
        <v>0</v>
      </c>
      <c r="L1604" s="43">
        <f t="shared" si="511"/>
        <v>0</v>
      </c>
      <c r="M1604" s="217">
        <f t="shared" si="512"/>
        <v>0</v>
      </c>
      <c r="N1604" s="43"/>
      <c r="R1604" s="288"/>
      <c r="S1604" s="288"/>
      <c r="T1604" s="217"/>
      <c r="U1604" s="288"/>
      <c r="V1604" s="288"/>
      <c r="W1604" s="203">
        <f t="shared" si="504"/>
        <v>0</v>
      </c>
      <c r="X1604" s="203">
        <f t="shared" si="505"/>
        <v>0</v>
      </c>
    </row>
    <row r="1605" spans="1:24" ht="16.5" hidden="1" customHeight="1" x14ac:dyDescent="0.2">
      <c r="A1605" s="451" t="s">
        <v>1543</v>
      </c>
      <c r="B1605" s="306" t="s">
        <v>98</v>
      </c>
      <c r="C1605" s="354" t="s">
        <v>28</v>
      </c>
      <c r="D1605" s="354" t="s">
        <v>614</v>
      </c>
      <c r="E1605" s="450" t="s">
        <v>692</v>
      </c>
      <c r="F1605" s="450"/>
      <c r="G1605" s="498">
        <f>G1606</f>
        <v>0</v>
      </c>
      <c r="H1605" s="498">
        <f>H1606</f>
        <v>0</v>
      </c>
      <c r="I1605" s="591">
        <f>I1606</f>
        <v>0</v>
      </c>
      <c r="J1605" s="591">
        <f>J1606</f>
        <v>0</v>
      </c>
      <c r="K1605" s="591">
        <f t="shared" si="510"/>
        <v>0</v>
      </c>
      <c r="L1605" s="591">
        <f t="shared" si="511"/>
        <v>0</v>
      </c>
      <c r="M1605" s="217">
        <f t="shared" si="512"/>
        <v>0</v>
      </c>
      <c r="N1605" s="43"/>
      <c r="R1605" s="591">
        <f>R1606</f>
        <v>0</v>
      </c>
      <c r="S1605" s="591">
        <f>S1606</f>
        <v>0</v>
      </c>
      <c r="T1605" s="217"/>
      <c r="U1605" s="498">
        <f>U1606</f>
        <v>0</v>
      </c>
      <c r="V1605" s="498">
        <f>V1606</f>
        <v>0</v>
      </c>
      <c r="W1605" s="203">
        <f t="shared" si="504"/>
        <v>0</v>
      </c>
      <c r="X1605" s="203">
        <f t="shared" si="505"/>
        <v>0</v>
      </c>
    </row>
    <row r="1606" spans="1:24" ht="15" hidden="1" x14ac:dyDescent="0.2">
      <c r="A1606" s="124" t="s">
        <v>1543</v>
      </c>
      <c r="B1606" s="243" t="s">
        <v>98</v>
      </c>
      <c r="C1606" s="353" t="s">
        <v>28</v>
      </c>
      <c r="D1606" s="353" t="s">
        <v>614</v>
      </c>
      <c r="E1606" s="369" t="s">
        <v>692</v>
      </c>
      <c r="F1606" s="369" t="s">
        <v>634</v>
      </c>
      <c r="G1606" s="288"/>
      <c r="H1606" s="288"/>
      <c r="I1606" s="288"/>
      <c r="J1606" s="288"/>
      <c r="K1606" s="43">
        <f t="shared" si="510"/>
        <v>0</v>
      </c>
      <c r="L1606" s="43">
        <f t="shared" si="511"/>
        <v>0</v>
      </c>
      <c r="M1606" s="217">
        <f t="shared" si="512"/>
        <v>0</v>
      </c>
      <c r="N1606" s="43"/>
      <c r="R1606" s="288"/>
      <c r="S1606" s="288"/>
      <c r="T1606" s="217"/>
      <c r="U1606" s="288"/>
      <c r="V1606" s="288"/>
      <c r="W1606" s="203">
        <f t="shared" si="504"/>
        <v>0</v>
      </c>
      <c r="X1606" s="203">
        <f t="shared" si="505"/>
        <v>0</v>
      </c>
    </row>
    <row r="1607" spans="1:24" ht="15" x14ac:dyDescent="0.2">
      <c r="A1607" s="746" t="s">
        <v>1598</v>
      </c>
      <c r="B1607" s="306" t="s">
        <v>98</v>
      </c>
      <c r="C1607" s="354" t="s">
        <v>619</v>
      </c>
      <c r="D1607" s="354"/>
      <c r="E1607" s="450"/>
      <c r="F1607" s="450"/>
      <c r="G1607" s="591">
        <f t="shared" ref="G1607:J1608" si="513">G1608</f>
        <v>3864.02468</v>
      </c>
      <c r="H1607" s="591">
        <f t="shared" si="513"/>
        <v>0</v>
      </c>
      <c r="I1607" s="591">
        <f t="shared" si="513"/>
        <v>3864.02468</v>
      </c>
      <c r="J1607" s="591">
        <f t="shared" si="513"/>
        <v>0</v>
      </c>
      <c r="K1607" s="591">
        <f t="shared" si="510"/>
        <v>0</v>
      </c>
      <c r="L1607" s="591">
        <f t="shared" si="511"/>
        <v>0</v>
      </c>
      <c r="M1607" s="217">
        <f t="shared" si="512"/>
        <v>0</v>
      </c>
      <c r="N1607" s="178">
        <f>N1608</f>
        <v>1559</v>
      </c>
      <c r="R1607" s="591">
        <f>R1608</f>
        <v>1907.2</v>
      </c>
      <c r="S1607" s="591">
        <f>S1608</f>
        <v>0</v>
      </c>
      <c r="T1607" s="217">
        <f t="shared" ref="T1607:T1613" si="514">I1607-G1607</f>
        <v>0</v>
      </c>
      <c r="U1607" s="498">
        <f>U1608</f>
        <v>1907.2</v>
      </c>
      <c r="V1607" s="498">
        <f>V1608</f>
        <v>0</v>
      </c>
      <c r="W1607" s="203">
        <f t="shared" si="504"/>
        <v>0</v>
      </c>
      <c r="X1607" s="203">
        <f t="shared" si="505"/>
        <v>0</v>
      </c>
    </row>
    <row r="1608" spans="1:24" ht="15" x14ac:dyDescent="0.2">
      <c r="A1608" s="746" t="s">
        <v>618</v>
      </c>
      <c r="B1608" s="306" t="s">
        <v>98</v>
      </c>
      <c r="C1608" s="354" t="s">
        <v>619</v>
      </c>
      <c r="D1608" s="354" t="s">
        <v>614</v>
      </c>
      <c r="E1608" s="450"/>
      <c r="F1608" s="450"/>
      <c r="G1608" s="591">
        <f t="shared" si="513"/>
        <v>3864.02468</v>
      </c>
      <c r="H1608" s="591">
        <f t="shared" si="513"/>
        <v>0</v>
      </c>
      <c r="I1608" s="591">
        <f t="shared" si="513"/>
        <v>3864.02468</v>
      </c>
      <c r="J1608" s="591">
        <f t="shared" si="513"/>
        <v>0</v>
      </c>
      <c r="K1608" s="591">
        <f t="shared" si="510"/>
        <v>0</v>
      </c>
      <c r="L1608" s="591">
        <f t="shared" si="511"/>
        <v>0</v>
      </c>
      <c r="M1608" s="217">
        <f t="shared" si="512"/>
        <v>0</v>
      </c>
      <c r="N1608" s="178">
        <f>N1609</f>
        <v>1559</v>
      </c>
      <c r="R1608" s="591">
        <f>R1609</f>
        <v>1907.2</v>
      </c>
      <c r="S1608" s="591">
        <f>S1609</f>
        <v>0</v>
      </c>
      <c r="T1608" s="217">
        <f t="shared" si="514"/>
        <v>0</v>
      </c>
      <c r="U1608" s="498">
        <f>U1609</f>
        <v>1907.2</v>
      </c>
      <c r="V1608" s="498">
        <f>V1609</f>
        <v>0</v>
      </c>
      <c r="W1608" s="203">
        <f t="shared" si="504"/>
        <v>0</v>
      </c>
      <c r="X1608" s="203">
        <f t="shared" si="505"/>
        <v>0</v>
      </c>
    </row>
    <row r="1609" spans="1:24" ht="15" x14ac:dyDescent="0.2">
      <c r="A1609" s="746" t="s">
        <v>65</v>
      </c>
      <c r="B1609" s="306" t="s">
        <v>98</v>
      </c>
      <c r="C1609" s="354" t="s">
        <v>619</v>
      </c>
      <c r="D1609" s="354" t="s">
        <v>614</v>
      </c>
      <c r="E1609" s="450" t="s">
        <v>312</v>
      </c>
      <c r="F1609" s="450"/>
      <c r="G1609" s="591">
        <f>G1610+G1612+G1614</f>
        <v>3864.02468</v>
      </c>
      <c r="H1609" s="591">
        <f>H1610+H1612+H1614</f>
        <v>0</v>
      </c>
      <c r="I1609" s="591">
        <f>I1610+I1612+I1614</f>
        <v>3864.02468</v>
      </c>
      <c r="J1609" s="591">
        <f>J1610+J1612+J1614</f>
        <v>0</v>
      </c>
      <c r="K1609" s="591">
        <f t="shared" si="510"/>
        <v>0</v>
      </c>
      <c r="L1609" s="591">
        <f t="shared" si="511"/>
        <v>0</v>
      </c>
      <c r="M1609" s="217">
        <f t="shared" si="512"/>
        <v>0</v>
      </c>
      <c r="N1609" s="178">
        <f>N1610+N1612</f>
        <v>1559</v>
      </c>
      <c r="R1609" s="591">
        <f>R1610+R1612+R1614</f>
        <v>1907.2</v>
      </c>
      <c r="S1609" s="591">
        <f>S1610+S1612+S1614</f>
        <v>0</v>
      </c>
      <c r="T1609" s="217">
        <f t="shared" si="514"/>
        <v>0</v>
      </c>
      <c r="U1609" s="498">
        <f>U1610+U1612+U1614</f>
        <v>1907.2</v>
      </c>
      <c r="V1609" s="498">
        <f>V1610+V1612+V1614</f>
        <v>0</v>
      </c>
      <c r="W1609" s="203">
        <f t="shared" si="504"/>
        <v>0</v>
      </c>
      <c r="X1609" s="203">
        <f t="shared" si="505"/>
        <v>0</v>
      </c>
    </row>
    <row r="1610" spans="1:24" ht="15" x14ac:dyDescent="0.2">
      <c r="A1610" s="746" t="s">
        <v>1757</v>
      </c>
      <c r="B1610" s="306" t="s">
        <v>98</v>
      </c>
      <c r="C1610" s="354" t="s">
        <v>619</v>
      </c>
      <c r="D1610" s="354" t="s">
        <v>614</v>
      </c>
      <c r="E1610" s="450" t="s">
        <v>580</v>
      </c>
      <c r="F1610" s="450"/>
      <c r="G1610" s="591">
        <f>G1611</f>
        <v>3421.8956800000001</v>
      </c>
      <c r="H1610" s="591">
        <f>H1611</f>
        <v>0</v>
      </c>
      <c r="I1610" s="591">
        <f>I1611</f>
        <v>3421.8956800000001</v>
      </c>
      <c r="J1610" s="591">
        <f>J1611</f>
        <v>0</v>
      </c>
      <c r="K1610" s="591">
        <f t="shared" si="510"/>
        <v>0</v>
      </c>
      <c r="L1610" s="591">
        <f t="shared" si="511"/>
        <v>0</v>
      </c>
      <c r="M1610" s="217">
        <f t="shared" si="512"/>
        <v>0</v>
      </c>
      <c r="N1610" s="178">
        <f>N1611</f>
        <v>1550</v>
      </c>
      <c r="R1610" s="591">
        <f>R1611</f>
        <v>1907.2</v>
      </c>
      <c r="S1610" s="591">
        <f>S1611</f>
        <v>0</v>
      </c>
      <c r="T1610" s="217">
        <f t="shared" si="514"/>
        <v>0</v>
      </c>
      <c r="U1610" s="498">
        <f>U1611</f>
        <v>1907.2</v>
      </c>
      <c r="V1610" s="498">
        <f>V1611</f>
        <v>0</v>
      </c>
      <c r="W1610" s="203">
        <f t="shared" si="504"/>
        <v>0</v>
      </c>
      <c r="X1610" s="203">
        <f t="shared" si="505"/>
        <v>0</v>
      </c>
    </row>
    <row r="1611" spans="1:24" ht="25.5" x14ac:dyDescent="0.2">
      <c r="A1611" s="744" t="s">
        <v>646</v>
      </c>
      <c r="B1611" s="243" t="s">
        <v>98</v>
      </c>
      <c r="C1611" s="353" t="s">
        <v>619</v>
      </c>
      <c r="D1611" s="353" t="s">
        <v>614</v>
      </c>
      <c r="E1611" s="369" t="s">
        <v>580</v>
      </c>
      <c r="F1611" s="369" t="s">
        <v>128</v>
      </c>
      <c r="G1611" s="288">
        <f>2979.38302+442.51266</f>
        <v>3421.8956800000001</v>
      </c>
      <c r="H1611" s="288"/>
      <c r="I1611" s="288">
        <f>2979.38302+442.51266</f>
        <v>3421.8956800000001</v>
      </c>
      <c r="J1611" s="288"/>
      <c r="K1611" s="43">
        <f t="shared" si="510"/>
        <v>0</v>
      </c>
      <c r="L1611" s="43">
        <f t="shared" si="511"/>
        <v>0</v>
      </c>
      <c r="M1611" s="217">
        <f t="shared" si="512"/>
        <v>0</v>
      </c>
      <c r="N1611" s="180">
        <v>1550</v>
      </c>
      <c r="R1611" s="288">
        <v>1907.2</v>
      </c>
      <c r="S1611" s="288"/>
      <c r="T1611" s="217">
        <f t="shared" si="514"/>
        <v>0</v>
      </c>
      <c r="U1611" s="288">
        <v>1907.2</v>
      </c>
      <c r="V1611" s="288">
        <v>0</v>
      </c>
      <c r="W1611" s="203">
        <f t="shared" si="504"/>
        <v>0</v>
      </c>
      <c r="X1611" s="203">
        <f t="shared" si="505"/>
        <v>0</v>
      </c>
    </row>
    <row r="1612" spans="1:24" s="164" customFormat="1" ht="15" x14ac:dyDescent="0.2">
      <c r="A1612" s="746" t="s">
        <v>1383</v>
      </c>
      <c r="B1612" s="306" t="s">
        <v>98</v>
      </c>
      <c r="C1612" s="354" t="s">
        <v>619</v>
      </c>
      <c r="D1612" s="354" t="s">
        <v>614</v>
      </c>
      <c r="E1612" s="697" t="s">
        <v>1268</v>
      </c>
      <c r="F1612" s="450"/>
      <c r="G1612" s="591">
        <f>G1613</f>
        <v>442.12900000000002</v>
      </c>
      <c r="H1612" s="591">
        <f>H1613</f>
        <v>0</v>
      </c>
      <c r="I1612" s="591">
        <f>I1613</f>
        <v>442.12900000000002</v>
      </c>
      <c r="J1612" s="591">
        <f>J1613</f>
        <v>0</v>
      </c>
      <c r="K1612" s="591">
        <f t="shared" si="510"/>
        <v>0</v>
      </c>
      <c r="L1612" s="591">
        <f t="shared" si="511"/>
        <v>0</v>
      </c>
      <c r="M1612" s="217">
        <f t="shared" si="512"/>
        <v>0</v>
      </c>
      <c r="N1612" s="136">
        <f>N1613</f>
        <v>9</v>
      </c>
      <c r="R1612" s="591">
        <f>R1613</f>
        <v>0</v>
      </c>
      <c r="S1612" s="591">
        <f>S1613</f>
        <v>0</v>
      </c>
      <c r="T1612" s="217">
        <f t="shared" si="514"/>
        <v>0</v>
      </c>
      <c r="U1612" s="498">
        <f>U1613</f>
        <v>0</v>
      </c>
      <c r="V1612" s="498">
        <f>V1613</f>
        <v>0</v>
      </c>
      <c r="W1612" s="203">
        <f t="shared" si="504"/>
        <v>0</v>
      </c>
      <c r="X1612" s="203">
        <f t="shared" si="505"/>
        <v>0</v>
      </c>
    </row>
    <row r="1613" spans="1:24" s="164" customFormat="1" ht="25.5" x14ac:dyDescent="0.2">
      <c r="A1613" s="744" t="s">
        <v>646</v>
      </c>
      <c r="B1613" s="243" t="s">
        <v>98</v>
      </c>
      <c r="C1613" s="353" t="s">
        <v>619</v>
      </c>
      <c r="D1613" s="353" t="s">
        <v>614</v>
      </c>
      <c r="E1613" s="386" t="s">
        <v>1268</v>
      </c>
      <c r="F1613" s="369" t="s">
        <v>128</v>
      </c>
      <c r="G1613" s="288">
        <v>442.12900000000002</v>
      </c>
      <c r="H1613" s="288"/>
      <c r="I1613" s="288">
        <v>442.12900000000002</v>
      </c>
      <c r="J1613" s="288"/>
      <c r="K1613" s="43">
        <f t="shared" si="510"/>
        <v>0</v>
      </c>
      <c r="L1613" s="43">
        <f t="shared" si="511"/>
        <v>0</v>
      </c>
      <c r="M1613" s="217">
        <f t="shared" si="512"/>
        <v>0</v>
      </c>
      <c r="N1613" s="137">
        <v>9</v>
      </c>
      <c r="R1613" s="288"/>
      <c r="S1613" s="288"/>
      <c r="T1613" s="217">
        <f t="shared" si="514"/>
        <v>0</v>
      </c>
      <c r="U1613" s="288"/>
      <c r="V1613" s="288"/>
      <c r="W1613" s="203">
        <f t="shared" si="504"/>
        <v>0</v>
      </c>
      <c r="X1613" s="203">
        <f t="shared" si="505"/>
        <v>0</v>
      </c>
    </row>
    <row r="1614" spans="1:24" s="164" customFormat="1" ht="15" hidden="1" x14ac:dyDescent="0.2">
      <c r="A1614" s="451" t="s">
        <v>1543</v>
      </c>
      <c r="B1614" s="306" t="s">
        <v>98</v>
      </c>
      <c r="C1614" s="354" t="s">
        <v>619</v>
      </c>
      <c r="D1614" s="354" t="s">
        <v>614</v>
      </c>
      <c r="E1614" s="450">
        <v>9990074410</v>
      </c>
      <c r="F1614" s="450"/>
      <c r="G1614" s="498">
        <f>G1615</f>
        <v>0</v>
      </c>
      <c r="H1614" s="498">
        <f>H1615</f>
        <v>0</v>
      </c>
      <c r="I1614" s="591">
        <f>I1615</f>
        <v>0</v>
      </c>
      <c r="J1614" s="591">
        <f>J1615</f>
        <v>0</v>
      </c>
      <c r="K1614" s="591">
        <f t="shared" si="510"/>
        <v>0</v>
      </c>
      <c r="L1614" s="591">
        <f t="shared" si="511"/>
        <v>0</v>
      </c>
      <c r="M1614" s="217">
        <f t="shared" si="512"/>
        <v>0</v>
      </c>
      <c r="N1614" s="137"/>
      <c r="R1614" s="591">
        <f>R1615</f>
        <v>0</v>
      </c>
      <c r="S1614" s="591">
        <f>S1615</f>
        <v>0</v>
      </c>
      <c r="T1614" s="217"/>
      <c r="U1614" s="498">
        <f>U1615</f>
        <v>0</v>
      </c>
      <c r="V1614" s="498">
        <f>V1615</f>
        <v>0</v>
      </c>
      <c r="W1614" s="203">
        <f t="shared" si="504"/>
        <v>0</v>
      </c>
      <c r="X1614" s="203">
        <f t="shared" si="505"/>
        <v>0</v>
      </c>
    </row>
    <row r="1615" spans="1:24" s="164" customFormat="1" ht="15" hidden="1" x14ac:dyDescent="0.2">
      <c r="A1615" s="124" t="s">
        <v>1543</v>
      </c>
      <c r="B1615" s="243" t="s">
        <v>98</v>
      </c>
      <c r="C1615" s="353" t="s">
        <v>619</v>
      </c>
      <c r="D1615" s="353" t="s">
        <v>614</v>
      </c>
      <c r="E1615" s="369">
        <v>9990074410</v>
      </c>
      <c r="F1615" s="369">
        <v>622</v>
      </c>
      <c r="G1615" s="288"/>
      <c r="H1615" s="288"/>
      <c r="I1615" s="288"/>
      <c r="J1615" s="288"/>
      <c r="K1615" s="43">
        <f t="shared" si="510"/>
        <v>0</v>
      </c>
      <c r="L1615" s="43">
        <f t="shared" si="511"/>
        <v>0</v>
      </c>
      <c r="M1615" s="217">
        <f t="shared" si="512"/>
        <v>0</v>
      </c>
      <c r="N1615" s="137"/>
      <c r="R1615" s="288"/>
      <c r="S1615" s="288"/>
      <c r="T1615" s="217"/>
      <c r="U1615" s="288"/>
      <c r="V1615" s="288"/>
      <c r="W1615" s="203">
        <f t="shared" si="504"/>
        <v>0</v>
      </c>
      <c r="X1615" s="203">
        <f t="shared" si="505"/>
        <v>0</v>
      </c>
    </row>
    <row r="1616" spans="1:24" ht="15" x14ac:dyDescent="0.2">
      <c r="A1616" s="746" t="s">
        <v>1599</v>
      </c>
      <c r="B1616" s="306" t="s">
        <v>98</v>
      </c>
      <c r="C1616" s="354" t="s">
        <v>621</v>
      </c>
      <c r="D1616" s="354"/>
      <c r="E1616" s="450"/>
      <c r="F1616" s="450"/>
      <c r="G1616" s="591">
        <f>G1617</f>
        <v>2300.5</v>
      </c>
      <c r="H1616" s="591">
        <f>H1617</f>
        <v>0</v>
      </c>
      <c r="I1616" s="591">
        <f>I1617</f>
        <v>2300.5</v>
      </c>
      <c r="J1616" s="591">
        <f>J1617</f>
        <v>0</v>
      </c>
      <c r="K1616" s="591">
        <f t="shared" si="510"/>
        <v>0</v>
      </c>
      <c r="L1616" s="591">
        <f t="shared" si="511"/>
        <v>0</v>
      </c>
      <c r="M1616" s="217">
        <f t="shared" si="512"/>
        <v>0</v>
      </c>
      <c r="N1616" s="42">
        <f>N1617</f>
        <v>3320</v>
      </c>
      <c r="R1616" s="591">
        <f>R1617</f>
        <v>1732.1992</v>
      </c>
      <c r="S1616" s="591">
        <f>S1617</f>
        <v>0</v>
      </c>
      <c r="T1616" s="217">
        <f>I1616-G1616</f>
        <v>0</v>
      </c>
      <c r="U1616" s="498">
        <f>U1617</f>
        <v>14930.078460000001</v>
      </c>
      <c r="V1616" s="498">
        <f>V1617</f>
        <v>10704.638010000001</v>
      </c>
      <c r="W1616" s="203">
        <f t="shared" si="504"/>
        <v>0</v>
      </c>
      <c r="X1616" s="203">
        <f t="shared" si="505"/>
        <v>0</v>
      </c>
    </row>
    <row r="1617" spans="1:24" ht="15" x14ac:dyDescent="0.2">
      <c r="A1617" s="746" t="s">
        <v>1600</v>
      </c>
      <c r="B1617" s="306" t="s">
        <v>98</v>
      </c>
      <c r="C1617" s="354" t="s">
        <v>621</v>
      </c>
      <c r="D1617" s="354" t="s">
        <v>606</v>
      </c>
      <c r="E1617" s="450"/>
      <c r="F1617" s="450"/>
      <c r="G1617" s="591">
        <f>G1627+G1648+G1618+G1644</f>
        <v>2300.5</v>
      </c>
      <c r="H1617" s="591">
        <f>H1627+H1648+H1618+H1644</f>
        <v>0</v>
      </c>
      <c r="I1617" s="591">
        <f>I1627+I1648+I1618+I1644</f>
        <v>2300.5</v>
      </c>
      <c r="J1617" s="591">
        <f>J1627+J1648+J1618+J1644</f>
        <v>0</v>
      </c>
      <c r="K1617" s="591">
        <f t="shared" si="510"/>
        <v>0</v>
      </c>
      <c r="L1617" s="591">
        <f t="shared" si="511"/>
        <v>0</v>
      </c>
      <c r="M1617" s="217">
        <f t="shared" si="512"/>
        <v>0</v>
      </c>
      <c r="N1617" s="42">
        <f>N1648</f>
        <v>3320</v>
      </c>
      <c r="R1617" s="591">
        <f>R1627+R1648+R1618+R1644</f>
        <v>1732.1992</v>
      </c>
      <c r="S1617" s="591">
        <f>S1627+S1648+S1618+S1644</f>
        <v>0</v>
      </c>
      <c r="T1617" s="217">
        <f>I1617-G1617</f>
        <v>0</v>
      </c>
      <c r="U1617" s="498">
        <f>U1627+U1648+U1618+U1644</f>
        <v>14930.078460000001</v>
      </c>
      <c r="V1617" s="498">
        <f>V1627+V1648+V1618+V1644</f>
        <v>10704.638010000001</v>
      </c>
      <c r="W1617" s="203">
        <f t="shared" si="504"/>
        <v>0</v>
      </c>
      <c r="X1617" s="203">
        <f t="shared" si="505"/>
        <v>0</v>
      </c>
    </row>
    <row r="1618" spans="1:24" ht="27.75" hidden="1" customHeight="1" x14ac:dyDescent="0.2">
      <c r="A1618" s="451" t="s">
        <v>1543</v>
      </c>
      <c r="B1618" s="306" t="s">
        <v>98</v>
      </c>
      <c r="C1618" s="354" t="s">
        <v>621</v>
      </c>
      <c r="D1618" s="354" t="s">
        <v>606</v>
      </c>
      <c r="E1618" s="450" t="s">
        <v>729</v>
      </c>
      <c r="F1618" s="450"/>
      <c r="G1618" s="498">
        <f>G1619+G1624</f>
        <v>0</v>
      </c>
      <c r="H1618" s="498">
        <f>H1619+H1624</f>
        <v>0</v>
      </c>
      <c r="I1618" s="591">
        <f>I1619+I1624</f>
        <v>0</v>
      </c>
      <c r="J1618" s="591">
        <f>J1619+J1624</f>
        <v>0</v>
      </c>
      <c r="K1618" s="591">
        <f t="shared" si="510"/>
        <v>0</v>
      </c>
      <c r="L1618" s="591">
        <f t="shared" si="511"/>
        <v>0</v>
      </c>
      <c r="M1618" s="217">
        <f t="shared" si="512"/>
        <v>0</v>
      </c>
      <c r="N1618" s="42"/>
      <c r="R1618" s="591">
        <f>R1619+R1624</f>
        <v>0</v>
      </c>
      <c r="S1618" s="591">
        <f>S1619+S1624</f>
        <v>0</v>
      </c>
      <c r="T1618" s="217"/>
      <c r="U1618" s="498">
        <f>U1619+U1624</f>
        <v>326.05536000000001</v>
      </c>
      <c r="V1618" s="498">
        <f>V1619+V1624</f>
        <v>0</v>
      </c>
      <c r="W1618" s="203">
        <f t="shared" si="504"/>
        <v>0</v>
      </c>
      <c r="X1618" s="203">
        <f t="shared" si="505"/>
        <v>0</v>
      </c>
    </row>
    <row r="1619" spans="1:24" ht="12.75" hidden="1" customHeight="1" x14ac:dyDescent="0.2">
      <c r="A1619" s="451" t="s">
        <v>1543</v>
      </c>
      <c r="B1619" s="306" t="s">
        <v>98</v>
      </c>
      <c r="C1619" s="354" t="s">
        <v>621</v>
      </c>
      <c r="D1619" s="354" t="s">
        <v>606</v>
      </c>
      <c r="E1619" s="450" t="s">
        <v>746</v>
      </c>
      <c r="F1619" s="450"/>
      <c r="G1619" s="498">
        <f>G1622+G1620</f>
        <v>0</v>
      </c>
      <c r="H1619" s="498">
        <f>H1622+H1620</f>
        <v>0</v>
      </c>
      <c r="I1619" s="591">
        <f>I1622+I1620</f>
        <v>0</v>
      </c>
      <c r="J1619" s="591">
        <f>J1622+J1620</f>
        <v>0</v>
      </c>
      <c r="K1619" s="591">
        <f t="shared" si="510"/>
        <v>0</v>
      </c>
      <c r="L1619" s="591">
        <f t="shared" si="511"/>
        <v>0</v>
      </c>
      <c r="M1619" s="217">
        <f t="shared" si="512"/>
        <v>0</v>
      </c>
      <c r="N1619" s="42"/>
      <c r="R1619" s="591">
        <f>R1622+R1620</f>
        <v>0</v>
      </c>
      <c r="S1619" s="591">
        <f>S1622+S1620</f>
        <v>0</v>
      </c>
      <c r="T1619" s="217"/>
      <c r="U1619" s="498">
        <f>U1622+U1620</f>
        <v>326.05536000000001</v>
      </c>
      <c r="V1619" s="498">
        <f>V1622+V1620</f>
        <v>0</v>
      </c>
      <c r="W1619" s="203">
        <f t="shared" si="504"/>
        <v>0</v>
      </c>
      <c r="X1619" s="203">
        <f t="shared" si="505"/>
        <v>0</v>
      </c>
    </row>
    <row r="1620" spans="1:24" ht="12.75" hidden="1" customHeight="1" x14ac:dyDescent="0.2">
      <c r="A1620" s="520" t="s">
        <v>1543</v>
      </c>
      <c r="B1620" s="306" t="s">
        <v>98</v>
      </c>
      <c r="C1620" s="354" t="s">
        <v>621</v>
      </c>
      <c r="D1620" s="354" t="s">
        <v>606</v>
      </c>
      <c r="E1620" s="514">
        <v>8200282460</v>
      </c>
      <c r="F1620" s="514"/>
      <c r="G1620" s="498">
        <f>G1621</f>
        <v>0</v>
      </c>
      <c r="H1620" s="498">
        <f>H1621</f>
        <v>0</v>
      </c>
      <c r="I1620" s="591">
        <f>I1621</f>
        <v>0</v>
      </c>
      <c r="J1620" s="591">
        <f>J1621</f>
        <v>0</v>
      </c>
      <c r="K1620" s="591">
        <f t="shared" si="510"/>
        <v>0</v>
      </c>
      <c r="L1620" s="591">
        <f t="shared" si="511"/>
        <v>0</v>
      </c>
      <c r="M1620" s="217"/>
      <c r="N1620" s="42"/>
      <c r="R1620" s="591">
        <f>R1621</f>
        <v>0</v>
      </c>
      <c r="S1620" s="591">
        <f>S1621</f>
        <v>0</v>
      </c>
      <c r="T1620" s="217"/>
      <c r="U1620" s="498">
        <f>U1621</f>
        <v>120</v>
      </c>
      <c r="V1620" s="498">
        <f>V1621</f>
        <v>0</v>
      </c>
      <c r="W1620" s="203"/>
      <c r="X1620" s="203"/>
    </row>
    <row r="1621" spans="1:24" ht="12.75" hidden="1" customHeight="1" x14ac:dyDescent="0.2">
      <c r="A1621" s="124" t="s">
        <v>1543</v>
      </c>
      <c r="B1621" s="516" t="s">
        <v>98</v>
      </c>
      <c r="C1621" s="517" t="s">
        <v>621</v>
      </c>
      <c r="D1621" s="517" t="s">
        <v>606</v>
      </c>
      <c r="E1621" s="518">
        <v>8200282460</v>
      </c>
      <c r="F1621" s="518">
        <v>540</v>
      </c>
      <c r="G1621" s="519"/>
      <c r="H1621" s="519"/>
      <c r="I1621" s="519"/>
      <c r="J1621" s="519"/>
      <c r="K1621" s="43">
        <f t="shared" si="510"/>
        <v>0</v>
      </c>
      <c r="L1621" s="43">
        <f t="shared" si="511"/>
        <v>0</v>
      </c>
      <c r="M1621" s="217"/>
      <c r="N1621" s="42"/>
      <c r="R1621" s="519"/>
      <c r="S1621" s="519"/>
      <c r="T1621" s="217"/>
      <c r="U1621" s="519">
        <v>120</v>
      </c>
      <c r="V1621" s="519"/>
      <c r="W1621" s="203"/>
      <c r="X1621" s="203"/>
    </row>
    <row r="1622" spans="1:24" ht="29.25" hidden="1" customHeight="1" x14ac:dyDescent="0.2">
      <c r="A1622" s="451" t="s">
        <v>1543</v>
      </c>
      <c r="B1622" s="306" t="s">
        <v>98</v>
      </c>
      <c r="C1622" s="354" t="s">
        <v>621</v>
      </c>
      <c r="D1622" s="354" t="s">
        <v>606</v>
      </c>
      <c r="E1622" s="450" t="s">
        <v>747</v>
      </c>
      <c r="F1622" s="450"/>
      <c r="G1622" s="498">
        <f>G1623</f>
        <v>0</v>
      </c>
      <c r="H1622" s="498">
        <f>H1623</f>
        <v>0</v>
      </c>
      <c r="I1622" s="591">
        <f>I1623</f>
        <v>0</v>
      </c>
      <c r="J1622" s="591">
        <f>J1623</f>
        <v>0</v>
      </c>
      <c r="K1622" s="591">
        <f t="shared" si="510"/>
        <v>0</v>
      </c>
      <c r="L1622" s="591">
        <f t="shared" si="511"/>
        <v>0</v>
      </c>
      <c r="M1622" s="217">
        <f t="shared" si="512"/>
        <v>0</v>
      </c>
      <c r="N1622" s="42"/>
      <c r="R1622" s="591">
        <f>R1623</f>
        <v>0</v>
      </c>
      <c r="S1622" s="591">
        <f>S1623</f>
        <v>0</v>
      </c>
      <c r="T1622" s="217"/>
      <c r="U1622" s="498">
        <f>U1623</f>
        <v>206.05536000000001</v>
      </c>
      <c r="V1622" s="498">
        <f>V1623</f>
        <v>0</v>
      </c>
      <c r="W1622" s="203">
        <f t="shared" si="504"/>
        <v>0</v>
      </c>
      <c r="X1622" s="203">
        <f t="shared" si="505"/>
        <v>0</v>
      </c>
    </row>
    <row r="1623" spans="1:24" ht="12.75" hidden="1" customHeight="1" x14ac:dyDescent="0.2">
      <c r="A1623" s="124" t="s">
        <v>1543</v>
      </c>
      <c r="B1623" s="243" t="s">
        <v>98</v>
      </c>
      <c r="C1623" s="353" t="s">
        <v>621</v>
      </c>
      <c r="D1623" s="353" t="s">
        <v>606</v>
      </c>
      <c r="E1623" s="369" t="s">
        <v>747</v>
      </c>
      <c r="F1623" s="369" t="s">
        <v>132</v>
      </c>
      <c r="G1623" s="265">
        <v>0</v>
      </c>
      <c r="H1623" s="288"/>
      <c r="I1623" s="265">
        <v>0</v>
      </c>
      <c r="J1623" s="288"/>
      <c r="K1623" s="43">
        <f t="shared" si="510"/>
        <v>0</v>
      </c>
      <c r="L1623" s="43">
        <f t="shared" si="511"/>
        <v>0</v>
      </c>
      <c r="M1623" s="217">
        <f t="shared" si="512"/>
        <v>0</v>
      </c>
      <c r="N1623" s="42"/>
      <c r="R1623" s="265">
        <v>0</v>
      </c>
      <c r="S1623" s="288"/>
      <c r="T1623" s="217"/>
      <c r="U1623" s="288">
        <v>206.05536000000001</v>
      </c>
      <c r="V1623" s="288">
        <v>0</v>
      </c>
      <c r="W1623" s="203">
        <f t="shared" si="504"/>
        <v>0</v>
      </c>
      <c r="X1623" s="203">
        <f t="shared" si="505"/>
        <v>0</v>
      </c>
    </row>
    <row r="1624" spans="1:24" ht="38.25" hidden="1" customHeight="1" x14ac:dyDescent="0.2">
      <c r="A1624" s="451" t="s">
        <v>1543</v>
      </c>
      <c r="B1624" s="306" t="s">
        <v>98</v>
      </c>
      <c r="C1624" s="354" t="s">
        <v>621</v>
      </c>
      <c r="D1624" s="354" t="s">
        <v>606</v>
      </c>
      <c r="E1624" s="450" t="s">
        <v>742</v>
      </c>
      <c r="F1624" s="450"/>
      <c r="G1624" s="498">
        <f t="shared" ref="G1624:J1625" si="515">G1625</f>
        <v>0</v>
      </c>
      <c r="H1624" s="498">
        <f t="shared" si="515"/>
        <v>0</v>
      </c>
      <c r="I1624" s="591">
        <f t="shared" si="515"/>
        <v>0</v>
      </c>
      <c r="J1624" s="591">
        <f t="shared" si="515"/>
        <v>0</v>
      </c>
      <c r="K1624" s="591">
        <f t="shared" si="510"/>
        <v>0</v>
      </c>
      <c r="L1624" s="591">
        <f t="shared" si="511"/>
        <v>0</v>
      </c>
      <c r="M1624" s="217">
        <f t="shared" si="512"/>
        <v>0</v>
      </c>
      <c r="N1624" s="42"/>
      <c r="R1624" s="591">
        <f>R1625</f>
        <v>0</v>
      </c>
      <c r="S1624" s="591">
        <f>S1625</f>
        <v>0</v>
      </c>
      <c r="T1624" s="217"/>
      <c r="U1624" s="498">
        <f>U1625</f>
        <v>0</v>
      </c>
      <c r="V1624" s="498">
        <f>V1625</f>
        <v>0</v>
      </c>
      <c r="W1624" s="203">
        <f t="shared" si="504"/>
        <v>0</v>
      </c>
      <c r="X1624" s="203">
        <f t="shared" si="505"/>
        <v>0</v>
      </c>
    </row>
    <row r="1625" spans="1:24" ht="27.75" hidden="1" customHeight="1" x14ac:dyDescent="0.2">
      <c r="A1625" s="451" t="s">
        <v>1543</v>
      </c>
      <c r="B1625" s="306" t="s">
        <v>98</v>
      </c>
      <c r="C1625" s="354" t="s">
        <v>621</v>
      </c>
      <c r="D1625" s="354" t="s">
        <v>606</v>
      </c>
      <c r="E1625" s="450" t="s">
        <v>748</v>
      </c>
      <c r="F1625" s="450"/>
      <c r="G1625" s="498">
        <f t="shared" si="515"/>
        <v>0</v>
      </c>
      <c r="H1625" s="498">
        <f t="shared" si="515"/>
        <v>0</v>
      </c>
      <c r="I1625" s="591">
        <f t="shared" si="515"/>
        <v>0</v>
      </c>
      <c r="J1625" s="591">
        <f t="shared" si="515"/>
        <v>0</v>
      </c>
      <c r="K1625" s="591">
        <f t="shared" si="510"/>
        <v>0</v>
      </c>
      <c r="L1625" s="591">
        <f t="shared" si="511"/>
        <v>0</v>
      </c>
      <c r="M1625" s="217">
        <f t="shared" si="512"/>
        <v>0</v>
      </c>
      <c r="N1625" s="42"/>
      <c r="R1625" s="591">
        <f>R1626</f>
        <v>0</v>
      </c>
      <c r="S1625" s="591">
        <f>S1626</f>
        <v>0</v>
      </c>
      <c r="T1625" s="217"/>
      <c r="U1625" s="498">
        <f>U1626</f>
        <v>0</v>
      </c>
      <c r="V1625" s="498">
        <f>V1626</f>
        <v>0</v>
      </c>
      <c r="W1625" s="203">
        <f t="shared" si="504"/>
        <v>0</v>
      </c>
      <c r="X1625" s="203">
        <f t="shared" si="505"/>
        <v>0</v>
      </c>
    </row>
    <row r="1626" spans="1:24" ht="17.25" hidden="1" customHeight="1" x14ac:dyDescent="0.2">
      <c r="A1626" s="124" t="s">
        <v>1543</v>
      </c>
      <c r="B1626" s="243" t="s">
        <v>98</v>
      </c>
      <c r="C1626" s="353" t="s">
        <v>621</v>
      </c>
      <c r="D1626" s="353" t="s">
        <v>606</v>
      </c>
      <c r="E1626" s="369" t="s">
        <v>748</v>
      </c>
      <c r="F1626" s="369" t="s">
        <v>132</v>
      </c>
      <c r="G1626" s="288">
        <v>0</v>
      </c>
      <c r="H1626" s="288"/>
      <c r="I1626" s="288">
        <v>0</v>
      </c>
      <c r="J1626" s="288"/>
      <c r="K1626" s="43">
        <f t="shared" si="510"/>
        <v>0</v>
      </c>
      <c r="L1626" s="43">
        <f t="shared" si="511"/>
        <v>0</v>
      </c>
      <c r="M1626" s="217">
        <f t="shared" si="512"/>
        <v>0</v>
      </c>
      <c r="N1626" s="42"/>
      <c r="R1626" s="288">
        <v>0</v>
      </c>
      <c r="S1626" s="288"/>
      <c r="T1626" s="217"/>
      <c r="U1626" s="288">
        <v>0</v>
      </c>
      <c r="V1626" s="288"/>
      <c r="W1626" s="203">
        <f t="shared" si="504"/>
        <v>0</v>
      </c>
      <c r="X1626" s="203">
        <f t="shared" si="505"/>
        <v>0</v>
      </c>
    </row>
    <row r="1627" spans="1:24" ht="30" hidden="1" customHeight="1" x14ac:dyDescent="0.2">
      <c r="A1627" s="451" t="s">
        <v>1543</v>
      </c>
      <c r="B1627" s="306" t="s">
        <v>98</v>
      </c>
      <c r="C1627" s="354" t="s">
        <v>621</v>
      </c>
      <c r="D1627" s="354" t="s">
        <v>606</v>
      </c>
      <c r="E1627" s="450" t="s">
        <v>711</v>
      </c>
      <c r="F1627" s="450"/>
      <c r="G1627" s="498">
        <f t="shared" ref="G1627:J1628" si="516">G1628</f>
        <v>0</v>
      </c>
      <c r="H1627" s="498">
        <f t="shared" si="516"/>
        <v>0</v>
      </c>
      <c r="I1627" s="591">
        <f t="shared" si="516"/>
        <v>0</v>
      </c>
      <c r="J1627" s="591">
        <f t="shared" si="516"/>
        <v>0</v>
      </c>
      <c r="K1627" s="591">
        <f t="shared" si="510"/>
        <v>0</v>
      </c>
      <c r="L1627" s="591">
        <f t="shared" si="511"/>
        <v>0</v>
      </c>
      <c r="M1627" s="217">
        <f t="shared" si="512"/>
        <v>0</v>
      </c>
      <c r="N1627" s="43"/>
      <c r="R1627" s="591">
        <f>R1628</f>
        <v>0</v>
      </c>
      <c r="S1627" s="591">
        <f>S1628</f>
        <v>0</v>
      </c>
      <c r="T1627" s="217">
        <f>I1627-G1627</f>
        <v>0</v>
      </c>
      <c r="U1627" s="498">
        <f>U1628</f>
        <v>10934.0231</v>
      </c>
      <c r="V1627" s="498">
        <f>V1628</f>
        <v>10704.638010000001</v>
      </c>
      <c r="W1627" s="203">
        <f t="shared" si="504"/>
        <v>0</v>
      </c>
      <c r="X1627" s="203">
        <f t="shared" si="505"/>
        <v>0</v>
      </c>
    </row>
    <row r="1628" spans="1:24" ht="16.5" hidden="1" customHeight="1" x14ac:dyDescent="0.2">
      <c r="A1628" s="451" t="s">
        <v>1543</v>
      </c>
      <c r="B1628" s="306" t="s">
        <v>98</v>
      </c>
      <c r="C1628" s="354" t="s">
        <v>621</v>
      </c>
      <c r="D1628" s="354" t="s">
        <v>606</v>
      </c>
      <c r="E1628" s="450" t="s">
        <v>1157</v>
      </c>
      <c r="F1628" s="450"/>
      <c r="G1628" s="498">
        <f t="shared" si="516"/>
        <v>0</v>
      </c>
      <c r="H1628" s="498">
        <f t="shared" si="516"/>
        <v>0</v>
      </c>
      <c r="I1628" s="591">
        <f t="shared" si="516"/>
        <v>0</v>
      </c>
      <c r="J1628" s="591">
        <f t="shared" si="516"/>
        <v>0</v>
      </c>
      <c r="K1628" s="591">
        <f t="shared" si="510"/>
        <v>0</v>
      </c>
      <c r="L1628" s="591">
        <f t="shared" si="511"/>
        <v>0</v>
      </c>
      <c r="M1628" s="217">
        <f t="shared" si="512"/>
        <v>0</v>
      </c>
      <c r="N1628" s="43"/>
      <c r="R1628" s="591">
        <f>R1629</f>
        <v>0</v>
      </c>
      <c r="S1628" s="591">
        <f>S1629</f>
        <v>0</v>
      </c>
      <c r="T1628" s="217"/>
      <c r="U1628" s="498">
        <f>U1629</f>
        <v>10934.0231</v>
      </c>
      <c r="V1628" s="498">
        <f>V1629</f>
        <v>10704.638010000001</v>
      </c>
      <c r="W1628" s="203">
        <f t="shared" si="504"/>
        <v>0</v>
      </c>
      <c r="X1628" s="203">
        <f t="shared" si="505"/>
        <v>0</v>
      </c>
    </row>
    <row r="1629" spans="1:24" ht="16.5" hidden="1" customHeight="1" x14ac:dyDescent="0.2">
      <c r="A1629" s="451" t="s">
        <v>1543</v>
      </c>
      <c r="B1629" s="306" t="s">
        <v>98</v>
      </c>
      <c r="C1629" s="354" t="s">
        <v>621</v>
      </c>
      <c r="D1629" s="354" t="s">
        <v>606</v>
      </c>
      <c r="E1629" s="450" t="s">
        <v>1156</v>
      </c>
      <c r="F1629" s="450"/>
      <c r="G1629" s="498">
        <f>G1632+G1630</f>
        <v>0</v>
      </c>
      <c r="H1629" s="498">
        <f>H1632+H1630</f>
        <v>0</v>
      </c>
      <c r="I1629" s="591">
        <f>I1632+I1630</f>
        <v>0</v>
      </c>
      <c r="J1629" s="591">
        <f>J1632+J1630</f>
        <v>0</v>
      </c>
      <c r="K1629" s="591">
        <f t="shared" si="510"/>
        <v>0</v>
      </c>
      <c r="L1629" s="591">
        <f t="shared" si="511"/>
        <v>0</v>
      </c>
      <c r="M1629" s="217">
        <f t="shared" si="512"/>
        <v>0</v>
      </c>
      <c r="N1629" s="43"/>
      <c r="R1629" s="591">
        <f>R1632+R1630</f>
        <v>0</v>
      </c>
      <c r="S1629" s="591">
        <f>S1632+S1630</f>
        <v>0</v>
      </c>
      <c r="T1629" s="217">
        <f t="shared" ref="T1629:T1636" si="517">I1629-G1629</f>
        <v>0</v>
      </c>
      <c r="U1629" s="498">
        <f>U1632+U1630</f>
        <v>10934.0231</v>
      </c>
      <c r="V1629" s="498">
        <f>V1632+V1630</f>
        <v>10704.638010000001</v>
      </c>
      <c r="W1629" s="203">
        <f t="shared" si="504"/>
        <v>0</v>
      </c>
      <c r="X1629" s="203">
        <f t="shared" si="505"/>
        <v>0</v>
      </c>
    </row>
    <row r="1630" spans="1:24" ht="37.5" hidden="1" customHeight="1" x14ac:dyDescent="0.2">
      <c r="A1630" s="451" t="s">
        <v>1543</v>
      </c>
      <c r="B1630" s="306" t="s">
        <v>98</v>
      </c>
      <c r="C1630" s="354" t="s">
        <v>621</v>
      </c>
      <c r="D1630" s="354" t="s">
        <v>606</v>
      </c>
      <c r="E1630" s="450" t="s">
        <v>1197</v>
      </c>
      <c r="F1630" s="450"/>
      <c r="G1630" s="498">
        <f>G1631</f>
        <v>0</v>
      </c>
      <c r="H1630" s="498">
        <f>H1631</f>
        <v>0</v>
      </c>
      <c r="I1630" s="591">
        <f>I1631</f>
        <v>0</v>
      </c>
      <c r="J1630" s="591">
        <f>J1631</f>
        <v>0</v>
      </c>
      <c r="K1630" s="591">
        <f t="shared" si="510"/>
        <v>0</v>
      </c>
      <c r="L1630" s="591">
        <f t="shared" si="511"/>
        <v>0</v>
      </c>
      <c r="M1630" s="217">
        <f t="shared" si="512"/>
        <v>0</v>
      </c>
      <c r="N1630" s="43"/>
      <c r="R1630" s="591">
        <f>R1631</f>
        <v>0</v>
      </c>
      <c r="S1630" s="591">
        <f>S1631</f>
        <v>0</v>
      </c>
      <c r="T1630" s="217">
        <f t="shared" si="517"/>
        <v>0</v>
      </c>
      <c r="U1630" s="498">
        <f>U1631</f>
        <v>0</v>
      </c>
      <c r="V1630" s="498">
        <f>V1631</f>
        <v>0</v>
      </c>
      <c r="W1630" s="203">
        <f t="shared" si="504"/>
        <v>0</v>
      </c>
      <c r="X1630" s="203">
        <f t="shared" si="505"/>
        <v>0</v>
      </c>
    </row>
    <row r="1631" spans="1:24" ht="12.75" hidden="1" customHeight="1" x14ac:dyDescent="0.2">
      <c r="A1631" s="124" t="s">
        <v>1543</v>
      </c>
      <c r="B1631" s="243" t="s">
        <v>98</v>
      </c>
      <c r="C1631" s="353" t="s">
        <v>621</v>
      </c>
      <c r="D1631" s="353" t="s">
        <v>606</v>
      </c>
      <c r="E1631" s="369" t="s">
        <v>1197</v>
      </c>
      <c r="F1631" s="369" t="s">
        <v>132</v>
      </c>
      <c r="G1631" s="288"/>
      <c r="H1631" s="288"/>
      <c r="I1631" s="288"/>
      <c r="J1631" s="288"/>
      <c r="K1631" s="43">
        <f t="shared" si="510"/>
        <v>0</v>
      </c>
      <c r="L1631" s="43">
        <f t="shared" si="511"/>
        <v>0</v>
      </c>
      <c r="M1631" s="217">
        <f t="shared" si="512"/>
        <v>0</v>
      </c>
      <c r="N1631" s="43"/>
      <c r="R1631" s="288"/>
      <c r="S1631" s="288"/>
      <c r="T1631" s="217">
        <f t="shared" si="517"/>
        <v>0</v>
      </c>
      <c r="U1631" s="288"/>
      <c r="V1631" s="288"/>
      <c r="W1631" s="203">
        <f t="shared" si="504"/>
        <v>0</v>
      </c>
      <c r="X1631" s="203">
        <f t="shared" si="505"/>
        <v>0</v>
      </c>
    </row>
    <row r="1632" spans="1:24" ht="16.5" hidden="1" customHeight="1" x14ac:dyDescent="0.2">
      <c r="A1632" s="451" t="s">
        <v>1543</v>
      </c>
      <c r="B1632" s="306" t="s">
        <v>98</v>
      </c>
      <c r="C1632" s="354" t="s">
        <v>621</v>
      </c>
      <c r="D1632" s="354" t="s">
        <v>606</v>
      </c>
      <c r="E1632" s="450" t="s">
        <v>1159</v>
      </c>
      <c r="F1632" s="450"/>
      <c r="G1632" s="498">
        <f>G1633</f>
        <v>0</v>
      </c>
      <c r="H1632" s="498">
        <f>H1633</f>
        <v>0</v>
      </c>
      <c r="I1632" s="591">
        <f>I1633</f>
        <v>0</v>
      </c>
      <c r="J1632" s="591">
        <f>J1633</f>
        <v>0</v>
      </c>
      <c r="K1632" s="591">
        <f t="shared" si="510"/>
        <v>0</v>
      </c>
      <c r="L1632" s="591">
        <f t="shared" si="511"/>
        <v>0</v>
      </c>
      <c r="M1632" s="217">
        <f t="shared" si="512"/>
        <v>0</v>
      </c>
      <c r="N1632" s="43"/>
      <c r="R1632" s="591">
        <f>R1633</f>
        <v>0</v>
      </c>
      <c r="S1632" s="591">
        <f>S1633</f>
        <v>0</v>
      </c>
      <c r="T1632" s="217">
        <f t="shared" si="517"/>
        <v>0</v>
      </c>
      <c r="U1632" s="498">
        <f>U1633</f>
        <v>10934.0231</v>
      </c>
      <c r="V1632" s="498">
        <f>V1633</f>
        <v>10704.638010000001</v>
      </c>
      <c r="W1632" s="203">
        <f t="shared" si="504"/>
        <v>0</v>
      </c>
      <c r="X1632" s="203">
        <f t="shared" si="505"/>
        <v>0</v>
      </c>
    </row>
    <row r="1633" spans="1:24" ht="12.75" hidden="1" customHeight="1" x14ac:dyDescent="0.2">
      <c r="A1633" s="124" t="s">
        <v>1543</v>
      </c>
      <c r="B1633" s="243" t="s">
        <v>98</v>
      </c>
      <c r="C1633" s="353" t="s">
        <v>621</v>
      </c>
      <c r="D1633" s="353" t="s">
        <v>606</v>
      </c>
      <c r="E1633" s="369" t="s">
        <v>1159</v>
      </c>
      <c r="F1633" s="369" t="s">
        <v>132</v>
      </c>
      <c r="G1633" s="288"/>
      <c r="H1633" s="265"/>
      <c r="I1633" s="288"/>
      <c r="J1633" s="265"/>
      <c r="K1633" s="130">
        <f t="shared" si="510"/>
        <v>0</v>
      </c>
      <c r="L1633" s="130">
        <f t="shared" si="511"/>
        <v>0</v>
      </c>
      <c r="M1633" s="217">
        <f t="shared" si="512"/>
        <v>0</v>
      </c>
      <c r="N1633" s="43"/>
      <c r="R1633" s="288"/>
      <c r="S1633" s="265"/>
      <c r="T1633" s="217">
        <f t="shared" si="517"/>
        <v>0</v>
      </c>
      <c r="U1633" s="288">
        <v>10934.0231</v>
      </c>
      <c r="V1633" s="265">
        <v>10704.638010000001</v>
      </c>
      <c r="W1633" s="203">
        <f t="shared" si="504"/>
        <v>0</v>
      </c>
      <c r="X1633" s="203">
        <f t="shared" si="505"/>
        <v>0</v>
      </c>
    </row>
    <row r="1634" spans="1:24" ht="24.75" hidden="1" customHeight="1" x14ac:dyDescent="0.2">
      <c r="A1634" s="451" t="s">
        <v>1543</v>
      </c>
      <c r="B1634" s="306" t="s">
        <v>98</v>
      </c>
      <c r="C1634" s="354" t="s">
        <v>621</v>
      </c>
      <c r="D1634" s="354" t="s">
        <v>606</v>
      </c>
      <c r="E1634" s="450" t="s">
        <v>826</v>
      </c>
      <c r="F1634" s="450"/>
      <c r="G1634" s="498">
        <f t="shared" ref="G1634:J1635" si="518">G1635</f>
        <v>0</v>
      </c>
      <c r="H1634" s="498">
        <f t="shared" si="518"/>
        <v>0</v>
      </c>
      <c r="I1634" s="591">
        <f t="shared" si="518"/>
        <v>0</v>
      </c>
      <c r="J1634" s="591">
        <f t="shared" si="518"/>
        <v>0</v>
      </c>
      <c r="K1634" s="591">
        <f t="shared" si="510"/>
        <v>0</v>
      </c>
      <c r="L1634" s="591">
        <f t="shared" si="511"/>
        <v>0</v>
      </c>
      <c r="M1634" s="217">
        <f t="shared" si="512"/>
        <v>0</v>
      </c>
      <c r="N1634" s="43"/>
      <c r="R1634" s="591">
        <f>R1635</f>
        <v>0</v>
      </c>
      <c r="S1634" s="591">
        <f>S1635</f>
        <v>0</v>
      </c>
      <c r="T1634" s="217">
        <f t="shared" si="517"/>
        <v>0</v>
      </c>
      <c r="U1634" s="498">
        <f>U1635</f>
        <v>0</v>
      </c>
      <c r="V1634" s="498">
        <f>V1635</f>
        <v>0</v>
      </c>
      <c r="W1634" s="203">
        <f t="shared" si="504"/>
        <v>0</v>
      </c>
      <c r="X1634" s="203">
        <f t="shared" si="505"/>
        <v>0</v>
      </c>
    </row>
    <row r="1635" spans="1:24" ht="27" hidden="1" customHeight="1" x14ac:dyDescent="0.2">
      <c r="A1635" s="451" t="s">
        <v>1543</v>
      </c>
      <c r="B1635" s="306" t="s">
        <v>98</v>
      </c>
      <c r="C1635" s="354" t="s">
        <v>621</v>
      </c>
      <c r="D1635" s="354" t="s">
        <v>606</v>
      </c>
      <c r="E1635" s="450" t="s">
        <v>827</v>
      </c>
      <c r="F1635" s="450"/>
      <c r="G1635" s="498">
        <f t="shared" si="518"/>
        <v>0</v>
      </c>
      <c r="H1635" s="498">
        <f t="shared" si="518"/>
        <v>0</v>
      </c>
      <c r="I1635" s="591">
        <f t="shared" si="518"/>
        <v>0</v>
      </c>
      <c r="J1635" s="591">
        <f t="shared" si="518"/>
        <v>0</v>
      </c>
      <c r="K1635" s="591">
        <f t="shared" si="510"/>
        <v>0</v>
      </c>
      <c r="L1635" s="591">
        <f t="shared" si="511"/>
        <v>0</v>
      </c>
      <c r="M1635" s="217">
        <f t="shared" si="512"/>
        <v>0</v>
      </c>
      <c r="N1635" s="43"/>
      <c r="R1635" s="591">
        <f>R1636</f>
        <v>0</v>
      </c>
      <c r="S1635" s="591">
        <f>S1636</f>
        <v>0</v>
      </c>
      <c r="T1635" s="217">
        <f t="shared" si="517"/>
        <v>0</v>
      </c>
      <c r="U1635" s="498">
        <f>U1636</f>
        <v>0</v>
      </c>
      <c r="V1635" s="498">
        <f>V1636</f>
        <v>0</v>
      </c>
      <c r="W1635" s="203">
        <f t="shared" si="504"/>
        <v>0</v>
      </c>
      <c r="X1635" s="203">
        <f t="shared" si="505"/>
        <v>0</v>
      </c>
    </row>
    <row r="1636" spans="1:24" ht="12.75" hidden="1" customHeight="1" x14ac:dyDescent="0.2">
      <c r="A1636" s="124" t="s">
        <v>1543</v>
      </c>
      <c r="B1636" s="243" t="s">
        <v>98</v>
      </c>
      <c r="C1636" s="353" t="s">
        <v>621</v>
      </c>
      <c r="D1636" s="353" t="s">
        <v>606</v>
      </c>
      <c r="E1636" s="369" t="s">
        <v>827</v>
      </c>
      <c r="F1636" s="369" t="s">
        <v>132</v>
      </c>
      <c r="G1636" s="288">
        <v>0</v>
      </c>
      <c r="H1636" s="288">
        <v>0</v>
      </c>
      <c r="I1636" s="288">
        <v>0</v>
      </c>
      <c r="J1636" s="288">
        <v>0</v>
      </c>
      <c r="K1636" s="43">
        <f t="shared" si="510"/>
        <v>0</v>
      </c>
      <c r="L1636" s="43">
        <f t="shared" si="511"/>
        <v>0</v>
      </c>
      <c r="M1636" s="217">
        <f t="shared" si="512"/>
        <v>0</v>
      </c>
      <c r="N1636" s="43"/>
      <c r="R1636" s="288">
        <v>0</v>
      </c>
      <c r="S1636" s="288">
        <v>0</v>
      </c>
      <c r="T1636" s="217">
        <f t="shared" si="517"/>
        <v>0</v>
      </c>
      <c r="U1636" s="288">
        <v>0</v>
      </c>
      <c r="V1636" s="288">
        <v>0</v>
      </c>
      <c r="W1636" s="203">
        <f t="shared" si="504"/>
        <v>0</v>
      </c>
      <c r="X1636" s="203">
        <f t="shared" si="505"/>
        <v>0</v>
      </c>
    </row>
    <row r="1637" spans="1:24" ht="30" hidden="1" customHeight="1" x14ac:dyDescent="0.2">
      <c r="A1637" s="451" t="s">
        <v>1543</v>
      </c>
      <c r="B1637" s="306" t="s">
        <v>98</v>
      </c>
      <c r="C1637" s="354" t="s">
        <v>621</v>
      </c>
      <c r="D1637" s="354" t="s">
        <v>606</v>
      </c>
      <c r="E1637" s="450" t="s">
        <v>712</v>
      </c>
      <c r="F1637" s="450"/>
      <c r="G1637" s="498">
        <f t="shared" ref="G1637:J1638" si="519">G1638</f>
        <v>0</v>
      </c>
      <c r="H1637" s="498">
        <f t="shared" si="519"/>
        <v>0</v>
      </c>
      <c r="I1637" s="591">
        <f t="shared" si="519"/>
        <v>0</v>
      </c>
      <c r="J1637" s="591">
        <f t="shared" si="519"/>
        <v>0</v>
      </c>
      <c r="K1637" s="591">
        <f t="shared" si="510"/>
        <v>0</v>
      </c>
      <c r="L1637" s="591">
        <f t="shared" si="511"/>
        <v>0</v>
      </c>
      <c r="M1637" s="217">
        <f t="shared" si="512"/>
        <v>0</v>
      </c>
      <c r="N1637" s="43"/>
      <c r="R1637" s="591">
        <f>R1638</f>
        <v>0</v>
      </c>
      <c r="S1637" s="591">
        <f>S1638</f>
        <v>0</v>
      </c>
      <c r="T1637" s="217"/>
      <c r="U1637" s="498">
        <f>U1638</f>
        <v>0</v>
      </c>
      <c r="V1637" s="498">
        <f>V1638</f>
        <v>0</v>
      </c>
      <c r="W1637" s="203">
        <f t="shared" si="504"/>
        <v>0</v>
      </c>
      <c r="X1637" s="203">
        <f t="shared" si="505"/>
        <v>0</v>
      </c>
    </row>
    <row r="1638" spans="1:24" ht="32.25" hidden="1" customHeight="1" x14ac:dyDescent="0.2">
      <c r="A1638" s="451" t="s">
        <v>1543</v>
      </c>
      <c r="B1638" s="306" t="s">
        <v>98</v>
      </c>
      <c r="C1638" s="354" t="s">
        <v>621</v>
      </c>
      <c r="D1638" s="354" t="s">
        <v>606</v>
      </c>
      <c r="E1638" s="450" t="s">
        <v>713</v>
      </c>
      <c r="F1638" s="450"/>
      <c r="G1638" s="498">
        <f t="shared" si="519"/>
        <v>0</v>
      </c>
      <c r="H1638" s="498">
        <f t="shared" si="519"/>
        <v>0</v>
      </c>
      <c r="I1638" s="591">
        <f t="shared" si="519"/>
        <v>0</v>
      </c>
      <c r="J1638" s="591">
        <f t="shared" si="519"/>
        <v>0</v>
      </c>
      <c r="K1638" s="591">
        <f t="shared" si="510"/>
        <v>0</v>
      </c>
      <c r="L1638" s="591">
        <f t="shared" si="511"/>
        <v>0</v>
      </c>
      <c r="M1638" s="217">
        <f t="shared" si="512"/>
        <v>0</v>
      </c>
      <c r="N1638" s="43"/>
      <c r="R1638" s="591">
        <f>R1639</f>
        <v>0</v>
      </c>
      <c r="S1638" s="591">
        <f>S1639</f>
        <v>0</v>
      </c>
      <c r="T1638" s="217"/>
      <c r="U1638" s="498">
        <f>U1639</f>
        <v>0</v>
      </c>
      <c r="V1638" s="498">
        <f>V1639</f>
        <v>0</v>
      </c>
      <c r="W1638" s="203">
        <f t="shared" si="504"/>
        <v>0</v>
      </c>
      <c r="X1638" s="203">
        <f t="shared" si="505"/>
        <v>0</v>
      </c>
    </row>
    <row r="1639" spans="1:24" ht="12.75" hidden="1" customHeight="1" x14ac:dyDescent="0.2">
      <c r="A1639" s="124" t="s">
        <v>1543</v>
      </c>
      <c r="B1639" s="243" t="s">
        <v>98</v>
      </c>
      <c r="C1639" s="353" t="s">
        <v>621</v>
      </c>
      <c r="D1639" s="353" t="s">
        <v>606</v>
      </c>
      <c r="E1639" s="369" t="s">
        <v>713</v>
      </c>
      <c r="F1639" s="369" t="s">
        <v>132</v>
      </c>
      <c r="G1639" s="288"/>
      <c r="H1639" s="288"/>
      <c r="I1639" s="288"/>
      <c r="J1639" s="288"/>
      <c r="K1639" s="43">
        <f t="shared" si="510"/>
        <v>0</v>
      </c>
      <c r="L1639" s="43">
        <f t="shared" si="511"/>
        <v>0</v>
      </c>
      <c r="M1639" s="217">
        <f t="shared" si="512"/>
        <v>0</v>
      </c>
      <c r="N1639" s="43"/>
      <c r="R1639" s="288"/>
      <c r="S1639" s="288"/>
      <c r="T1639" s="217"/>
      <c r="U1639" s="288"/>
      <c r="V1639" s="288"/>
      <c r="W1639" s="203">
        <f t="shared" si="504"/>
        <v>0</v>
      </c>
      <c r="X1639" s="203">
        <f t="shared" si="505"/>
        <v>0</v>
      </c>
    </row>
    <row r="1640" spans="1:24" ht="26.25" hidden="1" customHeight="1" x14ac:dyDescent="0.2">
      <c r="A1640" s="451" t="s">
        <v>1543</v>
      </c>
      <c r="B1640" s="306" t="s">
        <v>98</v>
      </c>
      <c r="C1640" s="354" t="s">
        <v>621</v>
      </c>
      <c r="D1640" s="354" t="s">
        <v>606</v>
      </c>
      <c r="E1640" s="450" t="s">
        <v>828</v>
      </c>
      <c r="F1640" s="450"/>
      <c r="G1640" s="498">
        <f t="shared" ref="G1640:J1642" si="520">G1641</f>
        <v>0</v>
      </c>
      <c r="H1640" s="498">
        <f t="shared" si="520"/>
        <v>0</v>
      </c>
      <c r="I1640" s="591">
        <f t="shared" si="520"/>
        <v>0</v>
      </c>
      <c r="J1640" s="591">
        <f t="shared" si="520"/>
        <v>0</v>
      </c>
      <c r="K1640" s="591">
        <f t="shared" si="510"/>
        <v>0</v>
      </c>
      <c r="L1640" s="591">
        <f t="shared" si="511"/>
        <v>0</v>
      </c>
      <c r="M1640" s="217">
        <f t="shared" si="512"/>
        <v>0</v>
      </c>
      <c r="N1640" s="43"/>
      <c r="R1640" s="591">
        <f t="shared" ref="R1640:S1642" si="521">R1641</f>
        <v>0</v>
      </c>
      <c r="S1640" s="591">
        <f t="shared" si="521"/>
        <v>0</v>
      </c>
      <c r="T1640" s="217">
        <f t="shared" ref="T1640:T1662" si="522">I1640-G1640</f>
        <v>0</v>
      </c>
      <c r="U1640" s="498">
        <f t="shared" ref="U1640:V1642" si="523">U1641</f>
        <v>0</v>
      </c>
      <c r="V1640" s="498">
        <f t="shared" si="523"/>
        <v>0</v>
      </c>
      <c r="W1640" s="203">
        <f t="shared" si="504"/>
        <v>0</v>
      </c>
      <c r="X1640" s="203">
        <f t="shared" si="505"/>
        <v>0</v>
      </c>
    </row>
    <row r="1641" spans="1:24" ht="26.25" hidden="1" customHeight="1" x14ac:dyDescent="0.2">
      <c r="A1641" s="451" t="s">
        <v>1543</v>
      </c>
      <c r="B1641" s="306" t="s">
        <v>98</v>
      </c>
      <c r="C1641" s="354" t="s">
        <v>621</v>
      </c>
      <c r="D1641" s="354" t="s">
        <v>606</v>
      </c>
      <c r="E1641" s="450" t="s">
        <v>829</v>
      </c>
      <c r="F1641" s="450"/>
      <c r="G1641" s="498">
        <f t="shared" si="520"/>
        <v>0</v>
      </c>
      <c r="H1641" s="498">
        <f t="shared" si="520"/>
        <v>0</v>
      </c>
      <c r="I1641" s="591">
        <f t="shared" si="520"/>
        <v>0</v>
      </c>
      <c r="J1641" s="591">
        <f t="shared" si="520"/>
        <v>0</v>
      </c>
      <c r="K1641" s="591">
        <f t="shared" si="510"/>
        <v>0</v>
      </c>
      <c r="L1641" s="591">
        <f t="shared" si="511"/>
        <v>0</v>
      </c>
      <c r="M1641" s="217">
        <f t="shared" si="512"/>
        <v>0</v>
      </c>
      <c r="N1641" s="43"/>
      <c r="R1641" s="591">
        <f t="shared" si="521"/>
        <v>0</v>
      </c>
      <c r="S1641" s="591">
        <f t="shared" si="521"/>
        <v>0</v>
      </c>
      <c r="T1641" s="217">
        <f t="shared" si="522"/>
        <v>0</v>
      </c>
      <c r="U1641" s="498">
        <f t="shared" si="523"/>
        <v>0</v>
      </c>
      <c r="V1641" s="498">
        <f t="shared" si="523"/>
        <v>0</v>
      </c>
      <c r="W1641" s="203">
        <f t="shared" si="504"/>
        <v>0</v>
      </c>
      <c r="X1641" s="203">
        <f t="shared" si="505"/>
        <v>0</v>
      </c>
    </row>
    <row r="1642" spans="1:24" ht="17.25" hidden="1" customHeight="1" x14ac:dyDescent="0.2">
      <c r="A1642" s="451" t="s">
        <v>1543</v>
      </c>
      <c r="B1642" s="306" t="s">
        <v>98</v>
      </c>
      <c r="C1642" s="354" t="s">
        <v>621</v>
      </c>
      <c r="D1642" s="354" t="s">
        <v>606</v>
      </c>
      <c r="E1642" s="450" t="s">
        <v>830</v>
      </c>
      <c r="F1642" s="450"/>
      <c r="G1642" s="498">
        <f t="shared" si="520"/>
        <v>0</v>
      </c>
      <c r="H1642" s="498">
        <f t="shared" si="520"/>
        <v>0</v>
      </c>
      <c r="I1642" s="591">
        <f t="shared" si="520"/>
        <v>0</v>
      </c>
      <c r="J1642" s="591">
        <f t="shared" si="520"/>
        <v>0</v>
      </c>
      <c r="K1642" s="591">
        <f t="shared" si="510"/>
        <v>0</v>
      </c>
      <c r="L1642" s="591">
        <f t="shared" si="511"/>
        <v>0</v>
      </c>
      <c r="M1642" s="217">
        <f t="shared" si="512"/>
        <v>0</v>
      </c>
      <c r="N1642" s="43"/>
      <c r="R1642" s="591">
        <f t="shared" si="521"/>
        <v>0</v>
      </c>
      <c r="S1642" s="591">
        <f t="shared" si="521"/>
        <v>0</v>
      </c>
      <c r="T1642" s="217">
        <f t="shared" si="522"/>
        <v>0</v>
      </c>
      <c r="U1642" s="498">
        <f t="shared" si="523"/>
        <v>0</v>
      </c>
      <c r="V1642" s="498">
        <f t="shared" si="523"/>
        <v>0</v>
      </c>
      <c r="W1642" s="203">
        <f t="shared" ref="W1642:W1728" si="524">G1642-I1642</f>
        <v>0</v>
      </c>
      <c r="X1642" s="203">
        <f t="shared" ref="X1642:X1728" si="525">K1642+W1642</f>
        <v>0</v>
      </c>
    </row>
    <row r="1643" spans="1:24" ht="12.75" hidden="1" customHeight="1" x14ac:dyDescent="0.2">
      <c r="A1643" s="124" t="s">
        <v>1543</v>
      </c>
      <c r="B1643" s="243" t="s">
        <v>98</v>
      </c>
      <c r="C1643" s="353" t="s">
        <v>621</v>
      </c>
      <c r="D1643" s="353" t="s">
        <v>606</v>
      </c>
      <c r="E1643" s="369" t="s">
        <v>830</v>
      </c>
      <c r="F1643" s="369" t="s">
        <v>132</v>
      </c>
      <c r="G1643" s="288">
        <v>0</v>
      </c>
      <c r="H1643" s="288"/>
      <c r="I1643" s="288">
        <v>0</v>
      </c>
      <c r="J1643" s="288"/>
      <c r="K1643" s="43">
        <f t="shared" si="510"/>
        <v>0</v>
      </c>
      <c r="L1643" s="43">
        <f t="shared" si="511"/>
        <v>0</v>
      </c>
      <c r="M1643" s="217">
        <f t="shared" si="512"/>
        <v>0</v>
      </c>
      <c r="N1643" s="43"/>
      <c r="R1643" s="288">
        <v>0</v>
      </c>
      <c r="S1643" s="288"/>
      <c r="T1643" s="217">
        <f t="shared" si="522"/>
        <v>0</v>
      </c>
      <c r="U1643" s="288">
        <v>0</v>
      </c>
      <c r="V1643" s="288"/>
      <c r="W1643" s="203">
        <f t="shared" si="524"/>
        <v>0</v>
      </c>
      <c r="X1643" s="203">
        <f t="shared" si="525"/>
        <v>0</v>
      </c>
    </row>
    <row r="1644" spans="1:24" ht="12.75" hidden="1" customHeight="1" x14ac:dyDescent="0.2">
      <c r="A1644" s="121" t="s">
        <v>1543</v>
      </c>
      <c r="B1644" s="306" t="s">
        <v>98</v>
      </c>
      <c r="C1644" s="354" t="s">
        <v>621</v>
      </c>
      <c r="D1644" s="354" t="s">
        <v>606</v>
      </c>
      <c r="E1644" s="377">
        <v>8900000000</v>
      </c>
      <c r="F1644" s="450"/>
      <c r="G1644" s="498">
        <f t="shared" ref="G1644:J1646" si="526">G1645</f>
        <v>0</v>
      </c>
      <c r="H1644" s="498">
        <f t="shared" si="526"/>
        <v>0</v>
      </c>
      <c r="I1644" s="591">
        <f t="shared" si="526"/>
        <v>0</v>
      </c>
      <c r="J1644" s="591">
        <f t="shared" si="526"/>
        <v>0</v>
      </c>
      <c r="K1644" s="591">
        <f t="shared" si="510"/>
        <v>0</v>
      </c>
      <c r="L1644" s="591">
        <f t="shared" si="511"/>
        <v>0</v>
      </c>
      <c r="M1644" s="217">
        <f t="shared" si="512"/>
        <v>0</v>
      </c>
      <c r="N1644" s="43"/>
      <c r="R1644" s="591">
        <f t="shared" ref="R1644:S1646" si="527">R1645</f>
        <v>0</v>
      </c>
      <c r="S1644" s="591">
        <f t="shared" si="527"/>
        <v>0</v>
      </c>
      <c r="T1644" s="217"/>
      <c r="U1644" s="498">
        <f t="shared" ref="U1644:V1646" si="528">U1645</f>
        <v>0</v>
      </c>
      <c r="V1644" s="498">
        <f t="shared" si="528"/>
        <v>0</v>
      </c>
      <c r="W1644" s="203"/>
      <c r="X1644" s="203"/>
    </row>
    <row r="1645" spans="1:24" ht="12.75" hidden="1" customHeight="1" x14ac:dyDescent="0.2">
      <c r="A1645" s="121" t="s">
        <v>1543</v>
      </c>
      <c r="B1645" s="306" t="s">
        <v>98</v>
      </c>
      <c r="C1645" s="354" t="s">
        <v>621</v>
      </c>
      <c r="D1645" s="354" t="s">
        <v>606</v>
      </c>
      <c r="E1645" s="377">
        <v>8900500000</v>
      </c>
      <c r="F1645" s="450"/>
      <c r="G1645" s="498">
        <f t="shared" si="526"/>
        <v>0</v>
      </c>
      <c r="H1645" s="498">
        <f t="shared" si="526"/>
        <v>0</v>
      </c>
      <c r="I1645" s="591">
        <f t="shared" si="526"/>
        <v>0</v>
      </c>
      <c r="J1645" s="591">
        <f t="shared" si="526"/>
        <v>0</v>
      </c>
      <c r="K1645" s="591">
        <f t="shared" si="510"/>
        <v>0</v>
      </c>
      <c r="L1645" s="591">
        <f t="shared" si="511"/>
        <v>0</v>
      </c>
      <c r="M1645" s="217">
        <f t="shared" si="512"/>
        <v>0</v>
      </c>
      <c r="N1645" s="43"/>
      <c r="R1645" s="591">
        <f t="shared" si="527"/>
        <v>0</v>
      </c>
      <c r="S1645" s="591">
        <f t="shared" si="527"/>
        <v>0</v>
      </c>
      <c r="T1645" s="217"/>
      <c r="U1645" s="498">
        <f t="shared" si="528"/>
        <v>0</v>
      </c>
      <c r="V1645" s="498">
        <f t="shared" si="528"/>
        <v>0</v>
      </c>
      <c r="W1645" s="203"/>
      <c r="X1645" s="203"/>
    </row>
    <row r="1646" spans="1:24" ht="12.75" hidden="1" customHeight="1" x14ac:dyDescent="0.2">
      <c r="A1646" s="121" t="s">
        <v>1543</v>
      </c>
      <c r="B1646" s="306" t="s">
        <v>98</v>
      </c>
      <c r="C1646" s="354" t="s">
        <v>621</v>
      </c>
      <c r="D1646" s="354" t="s">
        <v>606</v>
      </c>
      <c r="E1646" s="377" t="s">
        <v>1286</v>
      </c>
      <c r="F1646" s="450"/>
      <c r="G1646" s="498">
        <f t="shared" si="526"/>
        <v>0</v>
      </c>
      <c r="H1646" s="498">
        <f t="shared" si="526"/>
        <v>0</v>
      </c>
      <c r="I1646" s="591">
        <f t="shared" si="526"/>
        <v>0</v>
      </c>
      <c r="J1646" s="591">
        <f t="shared" si="526"/>
        <v>0</v>
      </c>
      <c r="K1646" s="591">
        <f t="shared" si="510"/>
        <v>0</v>
      </c>
      <c r="L1646" s="591">
        <f t="shared" si="511"/>
        <v>0</v>
      </c>
      <c r="M1646" s="217">
        <f t="shared" si="512"/>
        <v>0</v>
      </c>
      <c r="N1646" s="43"/>
      <c r="R1646" s="591">
        <f t="shared" si="527"/>
        <v>0</v>
      </c>
      <c r="S1646" s="591">
        <f t="shared" si="527"/>
        <v>0</v>
      </c>
      <c r="T1646" s="217"/>
      <c r="U1646" s="498">
        <f t="shared" si="528"/>
        <v>0</v>
      </c>
      <c r="V1646" s="498">
        <f t="shared" si="528"/>
        <v>0</v>
      </c>
      <c r="W1646" s="203"/>
      <c r="X1646" s="203"/>
    </row>
    <row r="1647" spans="1:24" ht="12.75" hidden="1" customHeight="1" x14ac:dyDescent="0.2">
      <c r="A1647" s="124" t="s">
        <v>1543</v>
      </c>
      <c r="B1647" s="243" t="s">
        <v>98</v>
      </c>
      <c r="C1647" s="353" t="s">
        <v>621</v>
      </c>
      <c r="D1647" s="353" t="s">
        <v>606</v>
      </c>
      <c r="E1647" s="378" t="s">
        <v>1286</v>
      </c>
      <c r="F1647" s="369" t="s">
        <v>132</v>
      </c>
      <c r="G1647" s="288">
        <v>0</v>
      </c>
      <c r="H1647" s="266">
        <v>0</v>
      </c>
      <c r="I1647" s="288">
        <v>0</v>
      </c>
      <c r="J1647" s="266">
        <v>0</v>
      </c>
      <c r="K1647" s="255">
        <f t="shared" si="510"/>
        <v>0</v>
      </c>
      <c r="L1647" s="43">
        <f t="shared" si="511"/>
        <v>0</v>
      </c>
      <c r="M1647" s="217">
        <f t="shared" si="512"/>
        <v>0</v>
      </c>
      <c r="N1647" s="43"/>
      <c r="R1647" s="288">
        <v>0</v>
      </c>
      <c r="S1647" s="266">
        <v>0</v>
      </c>
      <c r="T1647" s="217"/>
      <c r="U1647" s="288">
        <v>0</v>
      </c>
      <c r="V1647" s="266">
        <v>0</v>
      </c>
      <c r="W1647" s="203"/>
      <c r="X1647" s="203"/>
    </row>
    <row r="1648" spans="1:24" s="175" customFormat="1" ht="15" x14ac:dyDescent="0.2">
      <c r="A1648" s="746" t="s">
        <v>1565</v>
      </c>
      <c r="B1648" s="306" t="s">
        <v>98</v>
      </c>
      <c r="C1648" s="354" t="s">
        <v>621</v>
      </c>
      <c r="D1648" s="354" t="s">
        <v>606</v>
      </c>
      <c r="E1648" s="450" t="s">
        <v>312</v>
      </c>
      <c r="F1648" s="450"/>
      <c r="G1648" s="591">
        <f>G1649+G1665+G1667+G1661+G1663+G1657+G1659+G1653+G1651+G1655</f>
        <v>2300.5</v>
      </c>
      <c r="H1648" s="591">
        <f>H1649+H1665+H1667+H1661+H1663+H1657+H1659+H1653+H1651+H1655</f>
        <v>0</v>
      </c>
      <c r="I1648" s="591">
        <f>I1649+I1665+I1667+I1661+I1663+I1657+I1659+I1653+I1651+I1655</f>
        <v>2300.5</v>
      </c>
      <c r="J1648" s="591">
        <f>J1649+J1665+J1667+J1661+J1663+J1657+J1659+J1653+J1651+J1655</f>
        <v>0</v>
      </c>
      <c r="K1648" s="591">
        <f t="shared" si="510"/>
        <v>0</v>
      </c>
      <c r="L1648" s="591">
        <f t="shared" si="511"/>
        <v>0</v>
      </c>
      <c r="M1648" s="217">
        <f t="shared" si="512"/>
        <v>0</v>
      </c>
      <c r="N1648" s="178">
        <f>N1649</f>
        <v>3320</v>
      </c>
      <c r="R1648" s="591">
        <f>R1649+R1665+R1667+R1661+R1663+R1657+R1659+R1653+R1651+R1655</f>
        <v>1732.1992</v>
      </c>
      <c r="S1648" s="591">
        <f>S1649+S1665+S1667+S1661+S1663+S1657+S1659+S1653+S1651+S1655</f>
        <v>0</v>
      </c>
      <c r="T1648" s="217">
        <f t="shared" si="522"/>
        <v>0</v>
      </c>
      <c r="U1648" s="498">
        <f>U1649+U1665+U1667+U1661+U1663+U1657+U1659+U1653+U1651+U1655</f>
        <v>3670</v>
      </c>
      <c r="V1648" s="498">
        <f>V1649+V1665+V1667+V1661+V1663+V1657+V1659+V1653+V1651+V1655</f>
        <v>0</v>
      </c>
      <c r="W1648" s="203">
        <f t="shared" si="524"/>
        <v>0</v>
      </c>
      <c r="X1648" s="203">
        <f t="shared" si="525"/>
        <v>0</v>
      </c>
    </row>
    <row r="1649" spans="1:24" s="164" customFormat="1" ht="17.25" customHeight="1" x14ac:dyDescent="0.2">
      <c r="A1649" s="746" t="s">
        <v>1941</v>
      </c>
      <c r="B1649" s="306" t="s">
        <v>98</v>
      </c>
      <c r="C1649" s="354" t="s">
        <v>621</v>
      </c>
      <c r="D1649" s="354" t="s">
        <v>606</v>
      </c>
      <c r="E1649" s="450">
        <v>9990012210</v>
      </c>
      <c r="F1649" s="450"/>
      <c r="G1649" s="591">
        <f>G1650</f>
        <v>700</v>
      </c>
      <c r="H1649" s="591">
        <f>H1650</f>
        <v>0</v>
      </c>
      <c r="I1649" s="591">
        <f>I1650</f>
        <v>700</v>
      </c>
      <c r="J1649" s="591">
        <f>J1650</f>
        <v>0</v>
      </c>
      <c r="K1649" s="591">
        <f t="shared" ref="K1649:K1721" si="529">I1649-G1649</f>
        <v>0</v>
      </c>
      <c r="L1649" s="591">
        <f t="shared" ref="L1649:L1721" si="530">J1649-H1649</f>
        <v>0</v>
      </c>
      <c r="M1649" s="217">
        <f t="shared" si="512"/>
        <v>0</v>
      </c>
      <c r="N1649" s="136">
        <f>N1650</f>
        <v>3320</v>
      </c>
      <c r="R1649" s="591">
        <f>R1650</f>
        <v>0</v>
      </c>
      <c r="S1649" s="591">
        <f>S1650</f>
        <v>0</v>
      </c>
      <c r="T1649" s="217">
        <f t="shared" si="522"/>
        <v>0</v>
      </c>
      <c r="U1649" s="498">
        <f>U1650</f>
        <v>3670</v>
      </c>
      <c r="V1649" s="498">
        <f>V1650</f>
        <v>0</v>
      </c>
      <c r="W1649" s="203">
        <f t="shared" si="524"/>
        <v>0</v>
      </c>
      <c r="X1649" s="203">
        <f t="shared" si="525"/>
        <v>0</v>
      </c>
    </row>
    <row r="1650" spans="1:24" s="164" customFormat="1" ht="15" x14ac:dyDescent="0.2">
      <c r="A1650" s="744" t="s">
        <v>164</v>
      </c>
      <c r="B1650" s="243" t="s">
        <v>98</v>
      </c>
      <c r="C1650" s="353" t="s">
        <v>621</v>
      </c>
      <c r="D1650" s="353" t="s">
        <v>606</v>
      </c>
      <c r="E1650" s="369">
        <v>9990012210</v>
      </c>
      <c r="F1650" s="369" t="s">
        <v>132</v>
      </c>
      <c r="G1650" s="288">
        <v>700</v>
      </c>
      <c r="H1650" s="288"/>
      <c r="I1650" s="288">
        <v>700</v>
      </c>
      <c r="J1650" s="288"/>
      <c r="K1650" s="130">
        <f t="shared" si="529"/>
        <v>0</v>
      </c>
      <c r="L1650" s="130">
        <f t="shared" si="530"/>
        <v>0</v>
      </c>
      <c r="M1650" s="217">
        <f t="shared" si="512"/>
        <v>0</v>
      </c>
      <c r="N1650" s="137">
        <v>3320</v>
      </c>
      <c r="R1650" s="288"/>
      <c r="S1650" s="288"/>
      <c r="T1650" s="217">
        <f t="shared" si="522"/>
        <v>0</v>
      </c>
      <c r="U1650" s="288">
        <v>3670</v>
      </c>
      <c r="V1650" s="288">
        <v>0</v>
      </c>
      <c r="W1650" s="203">
        <f t="shared" si="524"/>
        <v>0</v>
      </c>
      <c r="X1650" s="203">
        <f t="shared" si="525"/>
        <v>0</v>
      </c>
    </row>
    <row r="1651" spans="1:24" s="164" customFormat="1" ht="25.5" x14ac:dyDescent="0.2">
      <c r="A1651" s="741" t="s">
        <v>1953</v>
      </c>
      <c r="B1651" s="388" t="s">
        <v>98</v>
      </c>
      <c r="C1651" s="389" t="s">
        <v>621</v>
      </c>
      <c r="D1651" s="389" t="s">
        <v>606</v>
      </c>
      <c r="E1651" s="390">
        <v>9990082350</v>
      </c>
      <c r="F1651" s="390"/>
      <c r="G1651" s="391">
        <f>G1652</f>
        <v>1000.5</v>
      </c>
      <c r="H1651" s="391">
        <f>H1652</f>
        <v>0</v>
      </c>
      <c r="I1651" s="391">
        <f>I1652</f>
        <v>1000.5</v>
      </c>
      <c r="J1651" s="391">
        <f>J1652</f>
        <v>0</v>
      </c>
      <c r="K1651" s="391">
        <f t="shared" si="529"/>
        <v>0</v>
      </c>
      <c r="L1651" s="391">
        <f t="shared" si="530"/>
        <v>0</v>
      </c>
      <c r="M1651" s="217">
        <f t="shared" si="512"/>
        <v>0</v>
      </c>
      <c r="N1651" s="137"/>
      <c r="R1651" s="391">
        <f>R1652</f>
        <v>0</v>
      </c>
      <c r="S1651" s="391">
        <f>S1652</f>
        <v>0</v>
      </c>
      <c r="T1651" s="217"/>
      <c r="U1651" s="391">
        <f>U1652</f>
        <v>0</v>
      </c>
      <c r="V1651" s="391">
        <f>V1652</f>
        <v>0</v>
      </c>
      <c r="W1651" s="203"/>
      <c r="X1651" s="203"/>
    </row>
    <row r="1652" spans="1:24" s="164" customFormat="1" ht="15" x14ac:dyDescent="0.2">
      <c r="A1652" s="739" t="s">
        <v>1543</v>
      </c>
      <c r="B1652" s="243" t="s">
        <v>98</v>
      </c>
      <c r="C1652" s="353" t="s">
        <v>621</v>
      </c>
      <c r="D1652" s="353" t="s">
        <v>606</v>
      </c>
      <c r="E1652" s="369">
        <v>9990082350</v>
      </c>
      <c r="F1652" s="369">
        <v>540</v>
      </c>
      <c r="G1652" s="288">
        <v>1000.5</v>
      </c>
      <c r="H1652" s="288"/>
      <c r="I1652" s="288">
        <v>1000.5</v>
      </c>
      <c r="J1652" s="288"/>
      <c r="K1652" s="43">
        <f t="shared" si="529"/>
        <v>0</v>
      </c>
      <c r="L1652" s="43">
        <f t="shared" si="530"/>
        <v>0</v>
      </c>
      <c r="M1652" s="217">
        <f t="shared" si="512"/>
        <v>0</v>
      </c>
      <c r="N1652" s="137"/>
      <c r="R1652" s="288">
        <v>0</v>
      </c>
      <c r="S1652" s="288"/>
      <c r="T1652" s="217"/>
      <c r="U1652" s="288">
        <v>0</v>
      </c>
      <c r="V1652" s="288"/>
      <c r="W1652" s="203"/>
      <c r="X1652" s="203"/>
    </row>
    <row r="1653" spans="1:24" s="164" customFormat="1" ht="32.25" customHeight="1" x14ac:dyDescent="0.2">
      <c r="A1653" s="747" t="s">
        <v>49</v>
      </c>
      <c r="B1653" s="306" t="s">
        <v>98</v>
      </c>
      <c r="C1653" s="354" t="s">
        <v>621</v>
      </c>
      <c r="D1653" s="354" t="s">
        <v>606</v>
      </c>
      <c r="E1653" s="450">
        <v>9990082900</v>
      </c>
      <c r="F1653" s="450"/>
      <c r="G1653" s="591">
        <f>G1654</f>
        <v>600</v>
      </c>
      <c r="H1653" s="591">
        <f>H1654</f>
        <v>0</v>
      </c>
      <c r="I1653" s="591">
        <f>I1654</f>
        <v>600</v>
      </c>
      <c r="J1653" s="591">
        <f>J1654</f>
        <v>0</v>
      </c>
      <c r="K1653" s="591">
        <f t="shared" si="529"/>
        <v>0</v>
      </c>
      <c r="L1653" s="591">
        <f t="shared" si="530"/>
        <v>0</v>
      </c>
      <c r="M1653" s="217">
        <f t="shared" si="512"/>
        <v>0</v>
      </c>
      <c r="N1653" s="136">
        <f>N1654</f>
        <v>3320</v>
      </c>
      <c r="O1653" s="300"/>
      <c r="P1653" s="300"/>
      <c r="Q1653" s="300"/>
      <c r="R1653" s="591">
        <f>R1654</f>
        <v>0</v>
      </c>
      <c r="S1653" s="591">
        <f>S1654</f>
        <v>0</v>
      </c>
      <c r="T1653" s="305">
        <f t="shared" si="522"/>
        <v>0</v>
      </c>
      <c r="U1653" s="498">
        <f>U1654</f>
        <v>0</v>
      </c>
      <c r="V1653" s="498">
        <f>V1654</f>
        <v>0</v>
      </c>
      <c r="W1653" s="203">
        <f t="shared" si="524"/>
        <v>0</v>
      </c>
      <c r="X1653" s="203">
        <f t="shared" si="525"/>
        <v>0</v>
      </c>
    </row>
    <row r="1654" spans="1:24" s="164" customFormat="1" ht="15" x14ac:dyDescent="0.2">
      <c r="A1654" s="739" t="s">
        <v>1543</v>
      </c>
      <c r="B1654" s="243" t="s">
        <v>98</v>
      </c>
      <c r="C1654" s="353" t="s">
        <v>621</v>
      </c>
      <c r="D1654" s="353" t="s">
        <v>606</v>
      </c>
      <c r="E1654" s="369">
        <v>9990082900</v>
      </c>
      <c r="F1654" s="369" t="s">
        <v>132</v>
      </c>
      <c r="G1654" s="288">
        <v>600</v>
      </c>
      <c r="H1654" s="288"/>
      <c r="I1654" s="288">
        <v>600</v>
      </c>
      <c r="J1654" s="288"/>
      <c r="K1654" s="43">
        <f t="shared" si="529"/>
        <v>0</v>
      </c>
      <c r="L1654" s="43">
        <f t="shared" si="530"/>
        <v>0</v>
      </c>
      <c r="M1654" s="217">
        <f t="shared" si="512"/>
        <v>0</v>
      </c>
      <c r="N1654" s="137">
        <v>3320</v>
      </c>
      <c r="R1654" s="288"/>
      <c r="S1654" s="288"/>
      <c r="T1654" s="217">
        <f t="shared" si="522"/>
        <v>0</v>
      </c>
      <c r="U1654" s="288"/>
      <c r="V1654" s="288"/>
      <c r="W1654" s="203">
        <f t="shared" si="524"/>
        <v>0</v>
      </c>
      <c r="X1654" s="203">
        <f t="shared" si="525"/>
        <v>0</v>
      </c>
    </row>
    <row r="1655" spans="1:24" s="164" customFormat="1" ht="15" hidden="1" x14ac:dyDescent="0.2">
      <c r="A1655" s="451" t="s">
        <v>1543</v>
      </c>
      <c r="B1655" s="306" t="s">
        <v>98</v>
      </c>
      <c r="C1655" s="354" t="s">
        <v>621</v>
      </c>
      <c r="D1655" s="354" t="s">
        <v>606</v>
      </c>
      <c r="E1655" s="450">
        <v>9990074440</v>
      </c>
      <c r="F1655" s="450"/>
      <c r="G1655" s="498">
        <f>G1656</f>
        <v>0</v>
      </c>
      <c r="H1655" s="498">
        <f>H1656</f>
        <v>0</v>
      </c>
      <c r="I1655" s="591">
        <f>I1656</f>
        <v>0</v>
      </c>
      <c r="J1655" s="591">
        <f>J1656</f>
        <v>0</v>
      </c>
      <c r="K1655" s="591">
        <f t="shared" si="529"/>
        <v>0</v>
      </c>
      <c r="L1655" s="591">
        <f t="shared" si="530"/>
        <v>0</v>
      </c>
      <c r="M1655" s="217">
        <f t="shared" si="512"/>
        <v>0</v>
      </c>
      <c r="N1655" s="137"/>
      <c r="R1655" s="591">
        <f>R1656</f>
        <v>0</v>
      </c>
      <c r="S1655" s="591">
        <f>S1656</f>
        <v>0</v>
      </c>
      <c r="T1655" s="217"/>
      <c r="U1655" s="498">
        <f t="shared" ref="U1655:V1657" si="531">U1656</f>
        <v>0</v>
      </c>
      <c r="V1655" s="498">
        <f t="shared" si="531"/>
        <v>0</v>
      </c>
      <c r="W1655" s="203"/>
      <c r="X1655" s="203"/>
    </row>
    <row r="1656" spans="1:24" s="164" customFormat="1" ht="15" hidden="1" x14ac:dyDescent="0.2">
      <c r="A1656" s="124" t="s">
        <v>1543</v>
      </c>
      <c r="B1656" s="243" t="s">
        <v>98</v>
      </c>
      <c r="C1656" s="353" t="s">
        <v>621</v>
      </c>
      <c r="D1656" s="353" t="s">
        <v>606</v>
      </c>
      <c r="E1656" s="369">
        <v>9990074440</v>
      </c>
      <c r="F1656" s="369" t="s">
        <v>132</v>
      </c>
      <c r="G1656" s="288">
        <v>0</v>
      </c>
      <c r="H1656" s="288"/>
      <c r="I1656" s="288">
        <v>0</v>
      </c>
      <c r="J1656" s="288"/>
      <c r="K1656" s="43">
        <f t="shared" si="529"/>
        <v>0</v>
      </c>
      <c r="L1656" s="43">
        <f t="shared" si="530"/>
        <v>0</v>
      </c>
      <c r="M1656" s="217">
        <f t="shared" si="512"/>
        <v>0</v>
      </c>
      <c r="N1656" s="137"/>
      <c r="R1656" s="288">
        <v>0</v>
      </c>
      <c r="S1656" s="288"/>
      <c r="T1656" s="217"/>
      <c r="U1656" s="288">
        <v>0</v>
      </c>
      <c r="V1656" s="288"/>
      <c r="W1656" s="203"/>
      <c r="X1656" s="203"/>
    </row>
    <row r="1657" spans="1:24" s="164" customFormat="1" ht="15" hidden="1" x14ac:dyDescent="0.2">
      <c r="A1657" s="451" t="s">
        <v>1590</v>
      </c>
      <c r="B1657" s="306" t="s">
        <v>98</v>
      </c>
      <c r="C1657" s="354" t="s">
        <v>621</v>
      </c>
      <c r="D1657" s="354" t="s">
        <v>606</v>
      </c>
      <c r="E1657" s="450">
        <v>9990082900</v>
      </c>
      <c r="F1657" s="450"/>
      <c r="G1657" s="498">
        <f>G1658</f>
        <v>0</v>
      </c>
      <c r="H1657" s="498">
        <f>H1658</f>
        <v>0</v>
      </c>
      <c r="I1657" s="591">
        <f>I1658</f>
        <v>0</v>
      </c>
      <c r="J1657" s="591">
        <f>J1658</f>
        <v>0</v>
      </c>
      <c r="K1657" s="591">
        <f t="shared" si="529"/>
        <v>0</v>
      </c>
      <c r="L1657" s="591">
        <f t="shared" si="530"/>
        <v>0</v>
      </c>
      <c r="M1657" s="217">
        <f t="shared" si="512"/>
        <v>0</v>
      </c>
      <c r="N1657" s="136">
        <f>N1658</f>
        <v>0</v>
      </c>
      <c r="R1657" s="591">
        <f>R1658</f>
        <v>1099.3</v>
      </c>
      <c r="S1657" s="591">
        <f>S1658</f>
        <v>0</v>
      </c>
      <c r="T1657" s="217">
        <f t="shared" si="522"/>
        <v>0</v>
      </c>
      <c r="U1657" s="498">
        <f t="shared" si="531"/>
        <v>0</v>
      </c>
      <c r="V1657" s="498">
        <f t="shared" si="531"/>
        <v>0</v>
      </c>
      <c r="W1657" s="203">
        <f t="shared" si="524"/>
        <v>0</v>
      </c>
      <c r="X1657" s="203">
        <f t="shared" si="525"/>
        <v>0</v>
      </c>
    </row>
    <row r="1658" spans="1:24" s="164" customFormat="1" ht="15" hidden="1" x14ac:dyDescent="0.2">
      <c r="A1658" s="124" t="s">
        <v>1584</v>
      </c>
      <c r="B1658" s="243" t="s">
        <v>98</v>
      </c>
      <c r="C1658" s="353" t="s">
        <v>621</v>
      </c>
      <c r="D1658" s="353" t="s">
        <v>606</v>
      </c>
      <c r="E1658" s="369">
        <v>9990082900</v>
      </c>
      <c r="F1658" s="369" t="s">
        <v>132</v>
      </c>
      <c r="G1658" s="288"/>
      <c r="H1658" s="288"/>
      <c r="I1658" s="288"/>
      <c r="J1658" s="288"/>
      <c r="K1658" s="43">
        <f t="shared" si="529"/>
        <v>0</v>
      </c>
      <c r="L1658" s="43">
        <f t="shared" si="530"/>
        <v>0</v>
      </c>
      <c r="M1658" s="217">
        <f t="shared" si="512"/>
        <v>0</v>
      </c>
      <c r="N1658" s="137"/>
      <c r="R1658" s="288">
        <v>1099.3</v>
      </c>
      <c r="S1658" s="288"/>
      <c r="T1658" s="217">
        <f t="shared" si="522"/>
        <v>0</v>
      </c>
      <c r="U1658" s="288"/>
      <c r="V1658" s="288"/>
      <c r="W1658" s="203">
        <f t="shared" si="524"/>
        <v>0</v>
      </c>
      <c r="X1658" s="203">
        <f t="shared" si="525"/>
        <v>0</v>
      </c>
    </row>
    <row r="1659" spans="1:24" s="164" customFormat="1" ht="25.5" hidden="1" x14ac:dyDescent="0.2">
      <c r="A1659" s="451" t="s">
        <v>1601</v>
      </c>
      <c r="B1659" s="306" t="s">
        <v>98</v>
      </c>
      <c r="C1659" s="354" t="s">
        <v>621</v>
      </c>
      <c r="D1659" s="354" t="s">
        <v>606</v>
      </c>
      <c r="E1659" s="450">
        <v>9990086020</v>
      </c>
      <c r="F1659" s="450"/>
      <c r="G1659" s="498">
        <f>G1660</f>
        <v>0</v>
      </c>
      <c r="H1659" s="498">
        <f>H1660</f>
        <v>0</v>
      </c>
      <c r="I1659" s="591">
        <f>I1660</f>
        <v>0</v>
      </c>
      <c r="J1659" s="591">
        <f>J1660</f>
        <v>0</v>
      </c>
      <c r="K1659" s="591">
        <f t="shared" si="529"/>
        <v>0</v>
      </c>
      <c r="L1659" s="591">
        <f t="shared" si="530"/>
        <v>0</v>
      </c>
      <c r="M1659" s="217">
        <f t="shared" si="512"/>
        <v>0</v>
      </c>
      <c r="N1659" s="136">
        <f>N1660</f>
        <v>0</v>
      </c>
      <c r="R1659" s="591">
        <f>R1660</f>
        <v>30.69</v>
      </c>
      <c r="S1659" s="591">
        <f>S1660</f>
        <v>0</v>
      </c>
      <c r="T1659" s="217">
        <f t="shared" si="522"/>
        <v>0</v>
      </c>
      <c r="U1659" s="498">
        <f>U1660</f>
        <v>0</v>
      </c>
      <c r="V1659" s="498">
        <f>V1660</f>
        <v>0</v>
      </c>
      <c r="W1659" s="203">
        <f t="shared" si="524"/>
        <v>0</v>
      </c>
      <c r="X1659" s="203">
        <f t="shared" si="525"/>
        <v>0</v>
      </c>
    </row>
    <row r="1660" spans="1:24" s="164" customFormat="1" ht="15" hidden="1" x14ac:dyDescent="0.2">
      <c r="A1660" s="124" t="s">
        <v>1584</v>
      </c>
      <c r="B1660" s="243" t="s">
        <v>98</v>
      </c>
      <c r="C1660" s="353" t="s">
        <v>621</v>
      </c>
      <c r="D1660" s="353" t="s">
        <v>606</v>
      </c>
      <c r="E1660" s="369">
        <v>9990086020</v>
      </c>
      <c r="F1660" s="369" t="s">
        <v>132</v>
      </c>
      <c r="G1660" s="288"/>
      <c r="H1660" s="288"/>
      <c r="I1660" s="288"/>
      <c r="J1660" s="288"/>
      <c r="K1660" s="43">
        <f t="shared" si="529"/>
        <v>0</v>
      </c>
      <c r="L1660" s="43">
        <f t="shared" si="530"/>
        <v>0</v>
      </c>
      <c r="M1660" s="217">
        <f t="shared" si="512"/>
        <v>0</v>
      </c>
      <c r="N1660" s="137"/>
      <c r="R1660" s="288">
        <v>30.69</v>
      </c>
      <c r="S1660" s="288"/>
      <c r="T1660" s="217">
        <f t="shared" si="522"/>
        <v>0</v>
      </c>
      <c r="U1660" s="288"/>
      <c r="V1660" s="288"/>
      <c r="W1660" s="203">
        <f t="shared" si="524"/>
        <v>0</v>
      </c>
      <c r="X1660" s="203">
        <f t="shared" si="525"/>
        <v>0</v>
      </c>
    </row>
    <row r="1661" spans="1:24" s="164" customFormat="1" ht="15" hidden="1" x14ac:dyDescent="0.2">
      <c r="A1661" s="451" t="s">
        <v>1543</v>
      </c>
      <c r="B1661" s="306" t="s">
        <v>98</v>
      </c>
      <c r="C1661" s="354" t="s">
        <v>621</v>
      </c>
      <c r="D1661" s="354" t="s">
        <v>606</v>
      </c>
      <c r="E1661" s="450" t="s">
        <v>1015</v>
      </c>
      <c r="F1661" s="450"/>
      <c r="G1661" s="498">
        <f>G1662</f>
        <v>0</v>
      </c>
      <c r="H1661" s="498">
        <f>H1662</f>
        <v>0</v>
      </c>
      <c r="I1661" s="591">
        <f>I1662</f>
        <v>0</v>
      </c>
      <c r="J1661" s="591">
        <f>J1662</f>
        <v>0</v>
      </c>
      <c r="K1661" s="591">
        <f t="shared" si="529"/>
        <v>0</v>
      </c>
      <c r="L1661" s="591">
        <f t="shared" si="530"/>
        <v>0</v>
      </c>
      <c r="M1661" s="217">
        <f t="shared" si="512"/>
        <v>0</v>
      </c>
      <c r="N1661" s="136">
        <f>N1662</f>
        <v>0</v>
      </c>
      <c r="R1661" s="591">
        <f>R1662</f>
        <v>0</v>
      </c>
      <c r="S1661" s="591">
        <f>S1662</f>
        <v>0</v>
      </c>
      <c r="T1661" s="217">
        <f t="shared" si="522"/>
        <v>0</v>
      </c>
      <c r="U1661" s="498">
        <f>U1662</f>
        <v>0</v>
      </c>
      <c r="V1661" s="498">
        <f>V1662</f>
        <v>0</v>
      </c>
      <c r="W1661" s="203">
        <f t="shared" si="524"/>
        <v>0</v>
      </c>
      <c r="X1661" s="203">
        <f t="shared" si="525"/>
        <v>0</v>
      </c>
    </row>
    <row r="1662" spans="1:24" s="164" customFormat="1" ht="15" hidden="1" x14ac:dyDescent="0.2">
      <c r="A1662" s="124" t="s">
        <v>1543</v>
      </c>
      <c r="B1662" s="243" t="s">
        <v>98</v>
      </c>
      <c r="C1662" s="353" t="s">
        <v>621</v>
      </c>
      <c r="D1662" s="353" t="s">
        <v>606</v>
      </c>
      <c r="E1662" s="369" t="s">
        <v>1015</v>
      </c>
      <c r="F1662" s="369" t="s">
        <v>132</v>
      </c>
      <c r="G1662" s="288"/>
      <c r="H1662" s="288"/>
      <c r="I1662" s="288"/>
      <c r="J1662" s="288"/>
      <c r="K1662" s="43">
        <f t="shared" si="529"/>
        <v>0</v>
      </c>
      <c r="L1662" s="43">
        <f t="shared" si="530"/>
        <v>0</v>
      </c>
      <c r="M1662" s="217">
        <f t="shared" si="512"/>
        <v>0</v>
      </c>
      <c r="N1662" s="137"/>
      <c r="R1662" s="288"/>
      <c r="S1662" s="288"/>
      <c r="T1662" s="217">
        <f t="shared" si="522"/>
        <v>0</v>
      </c>
      <c r="U1662" s="288"/>
      <c r="V1662" s="288"/>
      <c r="W1662" s="203">
        <f t="shared" si="524"/>
        <v>0</v>
      </c>
      <c r="X1662" s="203">
        <f t="shared" si="525"/>
        <v>0</v>
      </c>
    </row>
    <row r="1663" spans="1:24" s="164" customFormat="1" ht="15" hidden="1" x14ac:dyDescent="0.2">
      <c r="A1663" s="451" t="s">
        <v>1543</v>
      </c>
      <c r="B1663" s="306" t="s">
        <v>98</v>
      </c>
      <c r="C1663" s="354" t="s">
        <v>621</v>
      </c>
      <c r="D1663" s="354" t="s">
        <v>606</v>
      </c>
      <c r="E1663" s="450" t="s">
        <v>782</v>
      </c>
      <c r="F1663" s="450"/>
      <c r="G1663" s="498">
        <f>G1664</f>
        <v>0</v>
      </c>
      <c r="H1663" s="498">
        <f>H1664</f>
        <v>0</v>
      </c>
      <c r="I1663" s="591">
        <f>I1664</f>
        <v>0</v>
      </c>
      <c r="J1663" s="591">
        <f>J1664</f>
        <v>0</v>
      </c>
      <c r="K1663" s="591">
        <f t="shared" si="529"/>
        <v>0</v>
      </c>
      <c r="L1663" s="591">
        <f t="shared" si="530"/>
        <v>0</v>
      </c>
      <c r="M1663" s="217">
        <f t="shared" si="512"/>
        <v>0</v>
      </c>
      <c r="N1663" s="137"/>
      <c r="R1663" s="591">
        <f>R1664</f>
        <v>0</v>
      </c>
      <c r="S1663" s="591">
        <f>S1664</f>
        <v>0</v>
      </c>
      <c r="T1663" s="217"/>
      <c r="U1663" s="498">
        <f>U1664</f>
        <v>0</v>
      </c>
      <c r="V1663" s="498">
        <f>V1664</f>
        <v>0</v>
      </c>
      <c r="W1663" s="203">
        <f t="shared" si="524"/>
        <v>0</v>
      </c>
      <c r="X1663" s="203">
        <f t="shared" si="525"/>
        <v>0</v>
      </c>
    </row>
    <row r="1664" spans="1:24" s="164" customFormat="1" ht="15" hidden="1" x14ac:dyDescent="0.2">
      <c r="A1664" s="124" t="s">
        <v>1543</v>
      </c>
      <c r="B1664" s="243" t="s">
        <v>98</v>
      </c>
      <c r="C1664" s="353" t="s">
        <v>621</v>
      </c>
      <c r="D1664" s="353" t="s">
        <v>606</v>
      </c>
      <c r="E1664" s="369" t="s">
        <v>782</v>
      </c>
      <c r="F1664" s="369" t="s">
        <v>132</v>
      </c>
      <c r="G1664" s="288">
        <v>0</v>
      </c>
      <c r="H1664" s="288">
        <v>0</v>
      </c>
      <c r="I1664" s="288">
        <v>0</v>
      </c>
      <c r="J1664" s="288">
        <v>0</v>
      </c>
      <c r="K1664" s="255">
        <f t="shared" si="529"/>
        <v>0</v>
      </c>
      <c r="L1664" s="43">
        <f t="shared" si="530"/>
        <v>0</v>
      </c>
      <c r="M1664" s="217">
        <f t="shared" ref="M1664:M1742" si="532">I1664-G1664-K1664</f>
        <v>0</v>
      </c>
      <c r="N1664" s="137"/>
      <c r="R1664" s="288">
        <v>0</v>
      </c>
      <c r="S1664" s="288">
        <v>0</v>
      </c>
      <c r="T1664" s="217"/>
      <c r="U1664" s="288">
        <v>0</v>
      </c>
      <c r="V1664" s="288">
        <v>0</v>
      </c>
      <c r="W1664" s="203">
        <f t="shared" si="524"/>
        <v>0</v>
      </c>
      <c r="X1664" s="203">
        <f t="shared" si="525"/>
        <v>0</v>
      </c>
    </row>
    <row r="1665" spans="1:24" s="164" customFormat="1" ht="29.25" hidden="1" customHeight="1" x14ac:dyDescent="0.2">
      <c r="A1665" s="451" t="s">
        <v>1234</v>
      </c>
      <c r="B1665" s="306" t="s">
        <v>98</v>
      </c>
      <c r="C1665" s="354" t="s">
        <v>621</v>
      </c>
      <c r="D1665" s="354" t="s">
        <v>606</v>
      </c>
      <c r="E1665" s="613" t="s">
        <v>1419</v>
      </c>
      <c r="F1665" s="450"/>
      <c r="G1665" s="498">
        <f>G1666</f>
        <v>0</v>
      </c>
      <c r="H1665" s="498">
        <f>H1666</f>
        <v>0</v>
      </c>
      <c r="I1665" s="591">
        <f>I1666</f>
        <v>0</v>
      </c>
      <c r="J1665" s="591">
        <f>J1666</f>
        <v>0</v>
      </c>
      <c r="K1665" s="591">
        <f t="shared" si="529"/>
        <v>0</v>
      </c>
      <c r="L1665" s="591">
        <f t="shared" si="530"/>
        <v>0</v>
      </c>
      <c r="M1665" s="217">
        <f t="shared" si="532"/>
        <v>0</v>
      </c>
      <c r="N1665" s="137"/>
      <c r="R1665" s="591">
        <f>R1666</f>
        <v>602.20920000000001</v>
      </c>
      <c r="S1665" s="591">
        <f>S1666</f>
        <v>0</v>
      </c>
      <c r="T1665" s="217"/>
      <c r="U1665" s="498">
        <f>U1666</f>
        <v>0</v>
      </c>
      <c r="V1665" s="498">
        <f>V1666</f>
        <v>0</v>
      </c>
      <c r="W1665" s="203">
        <f t="shared" si="524"/>
        <v>0</v>
      </c>
      <c r="X1665" s="203">
        <f t="shared" si="525"/>
        <v>0</v>
      </c>
    </row>
    <row r="1666" spans="1:24" s="164" customFormat="1" ht="15" hidden="1" x14ac:dyDescent="0.2">
      <c r="A1666" s="124" t="s">
        <v>1543</v>
      </c>
      <c r="B1666" s="243" t="s">
        <v>98</v>
      </c>
      <c r="C1666" s="353" t="s">
        <v>621</v>
      </c>
      <c r="D1666" s="353" t="s">
        <v>606</v>
      </c>
      <c r="E1666" s="386" t="s">
        <v>1419</v>
      </c>
      <c r="F1666" s="369" t="s">
        <v>132</v>
      </c>
      <c r="G1666" s="288"/>
      <c r="H1666" s="288"/>
      <c r="I1666" s="288"/>
      <c r="J1666" s="288"/>
      <c r="K1666" s="43">
        <f t="shared" si="529"/>
        <v>0</v>
      </c>
      <c r="L1666" s="43">
        <f t="shared" si="530"/>
        <v>0</v>
      </c>
      <c r="M1666" s="217">
        <f t="shared" si="532"/>
        <v>0</v>
      </c>
      <c r="N1666" s="137"/>
      <c r="R1666" s="288">
        <v>602.20920000000001</v>
      </c>
      <c r="S1666" s="288"/>
      <c r="T1666" s="217"/>
      <c r="U1666" s="288"/>
      <c r="V1666" s="288"/>
      <c r="W1666" s="203">
        <f t="shared" si="524"/>
        <v>0</v>
      </c>
      <c r="X1666" s="203">
        <f t="shared" si="525"/>
        <v>0</v>
      </c>
    </row>
    <row r="1667" spans="1:24" s="164" customFormat="1" ht="15" hidden="1" x14ac:dyDescent="0.2">
      <c r="A1667" s="451" t="s">
        <v>1543</v>
      </c>
      <c r="B1667" s="306" t="s">
        <v>98</v>
      </c>
      <c r="C1667" s="354" t="s">
        <v>621</v>
      </c>
      <c r="D1667" s="354" t="s">
        <v>606</v>
      </c>
      <c r="E1667" s="450" t="s">
        <v>1237</v>
      </c>
      <c r="F1667" s="450"/>
      <c r="G1667" s="498">
        <f>G1668</f>
        <v>0</v>
      </c>
      <c r="H1667" s="498">
        <f>H1668</f>
        <v>0</v>
      </c>
      <c r="I1667" s="591">
        <f>I1668</f>
        <v>0</v>
      </c>
      <c r="J1667" s="591">
        <f>J1668</f>
        <v>0</v>
      </c>
      <c r="K1667" s="591">
        <f t="shared" si="529"/>
        <v>0</v>
      </c>
      <c r="L1667" s="591">
        <f t="shared" si="530"/>
        <v>0</v>
      </c>
      <c r="M1667" s="217">
        <f t="shared" si="532"/>
        <v>0</v>
      </c>
      <c r="N1667" s="137"/>
      <c r="R1667" s="591">
        <f>R1668</f>
        <v>0</v>
      </c>
      <c r="S1667" s="591">
        <f>S1668</f>
        <v>0</v>
      </c>
      <c r="T1667" s="217">
        <f t="shared" ref="T1667:T1674" si="533">I1667-G1667</f>
        <v>0</v>
      </c>
      <c r="U1667" s="498">
        <f>U1668</f>
        <v>0</v>
      </c>
      <c r="V1667" s="498">
        <f>V1668</f>
        <v>0</v>
      </c>
      <c r="W1667" s="203">
        <f t="shared" si="524"/>
        <v>0</v>
      </c>
      <c r="X1667" s="203">
        <f t="shared" si="525"/>
        <v>0</v>
      </c>
    </row>
    <row r="1668" spans="1:24" s="164" customFormat="1" ht="15" hidden="1" x14ac:dyDescent="0.2">
      <c r="A1668" s="124" t="s">
        <v>1543</v>
      </c>
      <c r="B1668" s="243" t="s">
        <v>98</v>
      </c>
      <c r="C1668" s="353" t="s">
        <v>621</v>
      </c>
      <c r="D1668" s="353" t="s">
        <v>606</v>
      </c>
      <c r="E1668" s="369" t="s">
        <v>1237</v>
      </c>
      <c r="F1668" s="369" t="s">
        <v>132</v>
      </c>
      <c r="G1668" s="288"/>
      <c r="H1668" s="288"/>
      <c r="I1668" s="288"/>
      <c r="J1668" s="288"/>
      <c r="K1668" s="43">
        <f t="shared" si="529"/>
        <v>0</v>
      </c>
      <c r="L1668" s="43">
        <f t="shared" si="530"/>
        <v>0</v>
      </c>
      <c r="M1668" s="217">
        <f t="shared" si="532"/>
        <v>0</v>
      </c>
      <c r="N1668" s="137"/>
      <c r="R1668" s="288"/>
      <c r="S1668" s="288"/>
      <c r="T1668" s="217">
        <f t="shared" si="533"/>
        <v>0</v>
      </c>
      <c r="U1668" s="288"/>
      <c r="V1668" s="288"/>
      <c r="W1668" s="203">
        <f t="shared" si="524"/>
        <v>0</v>
      </c>
      <c r="X1668" s="203">
        <f t="shared" si="525"/>
        <v>0</v>
      </c>
    </row>
    <row r="1669" spans="1:24" s="174" customFormat="1" ht="15.75" x14ac:dyDescent="0.25">
      <c r="A1669" s="743" t="s">
        <v>615</v>
      </c>
      <c r="B1669" s="66" t="s">
        <v>182</v>
      </c>
      <c r="C1669" s="346"/>
      <c r="D1669" s="346"/>
      <c r="E1669" s="373"/>
      <c r="F1669" s="373"/>
      <c r="G1669" s="126">
        <f>G1670+G1724+G1717</f>
        <v>78183.434209999992</v>
      </c>
      <c r="H1669" s="126">
        <f>H1670+H1724+H1717</f>
        <v>0</v>
      </c>
      <c r="I1669" s="126">
        <f>I1670+I1724+I1717</f>
        <v>89670.81243999998</v>
      </c>
      <c r="J1669" s="126">
        <f>J1670+J1724+J1717</f>
        <v>490</v>
      </c>
      <c r="K1669" s="126">
        <f t="shared" si="529"/>
        <v>11487.378229999988</v>
      </c>
      <c r="L1669" s="126">
        <f t="shared" si="530"/>
        <v>490</v>
      </c>
      <c r="M1669" s="217">
        <f t="shared" si="532"/>
        <v>0</v>
      </c>
      <c r="N1669" s="126">
        <f>N1670+N1724+N1717</f>
        <v>56274.328999999998</v>
      </c>
      <c r="R1669" s="126">
        <f>R1670+R1724+R1717</f>
        <v>64043.564050000008</v>
      </c>
      <c r="S1669" s="126">
        <f>S1670+S1724+S1717</f>
        <v>0</v>
      </c>
      <c r="T1669" s="217">
        <f t="shared" si="533"/>
        <v>11487.378229999988</v>
      </c>
      <c r="U1669" s="126">
        <f>U1670+U1724+U1717</f>
        <v>57298.567999999999</v>
      </c>
      <c r="V1669" s="126">
        <f>V1670+V1724+V1717</f>
        <v>0</v>
      </c>
      <c r="W1669" s="203">
        <f t="shared" si="524"/>
        <v>-11487.378229999988</v>
      </c>
      <c r="X1669" s="203">
        <f t="shared" si="525"/>
        <v>0</v>
      </c>
    </row>
    <row r="1670" spans="1:24" s="176" customFormat="1" ht="15" x14ac:dyDescent="0.2">
      <c r="A1670" s="746" t="s">
        <v>1602</v>
      </c>
      <c r="B1670" s="306" t="s">
        <v>182</v>
      </c>
      <c r="C1670" s="354" t="s">
        <v>605</v>
      </c>
      <c r="D1670" s="354"/>
      <c r="E1670" s="450"/>
      <c r="F1670" s="450"/>
      <c r="G1670" s="591">
        <f>G1671+G1704</f>
        <v>13964.367320000001</v>
      </c>
      <c r="H1670" s="591">
        <f>H1671+H1704</f>
        <v>0</v>
      </c>
      <c r="I1670" s="591">
        <f>I1671+I1704</f>
        <v>17360.545549999999</v>
      </c>
      <c r="J1670" s="591">
        <f>J1671+J1704</f>
        <v>161</v>
      </c>
      <c r="K1670" s="591">
        <f t="shared" si="529"/>
        <v>3396.1782299999977</v>
      </c>
      <c r="L1670" s="591">
        <f t="shared" si="530"/>
        <v>161</v>
      </c>
      <c r="M1670" s="217">
        <f t="shared" si="532"/>
        <v>0</v>
      </c>
      <c r="N1670" s="42">
        <f>N1671+N1704</f>
        <v>8578.1290000000008</v>
      </c>
      <c r="R1670" s="591">
        <f>R1671+R1704</f>
        <v>12358.987580000001</v>
      </c>
      <c r="S1670" s="591">
        <f>S1671+S1704</f>
        <v>0</v>
      </c>
      <c r="T1670" s="217">
        <f t="shared" si="533"/>
        <v>3396.1782299999977</v>
      </c>
      <c r="U1670" s="498">
        <f>U1671+U1704</f>
        <v>11078.38222</v>
      </c>
      <c r="V1670" s="498">
        <f>V1671+V1704</f>
        <v>0</v>
      </c>
      <c r="W1670" s="203">
        <f t="shared" si="524"/>
        <v>-3396.1782299999977</v>
      </c>
      <c r="X1670" s="203">
        <f t="shared" si="525"/>
        <v>0</v>
      </c>
    </row>
    <row r="1671" spans="1:24" s="176" customFormat="1" ht="25.5" x14ac:dyDescent="0.2">
      <c r="A1671" s="746" t="s">
        <v>458</v>
      </c>
      <c r="B1671" s="306" t="s">
        <v>182</v>
      </c>
      <c r="C1671" s="354" t="s">
        <v>605</v>
      </c>
      <c r="D1671" s="354" t="s">
        <v>607</v>
      </c>
      <c r="E1671" s="450"/>
      <c r="F1671" s="450"/>
      <c r="G1671" s="591">
        <f>G1672+G1700</f>
        <v>12134.41732</v>
      </c>
      <c r="H1671" s="591">
        <f t="shared" ref="H1671:L1671" si="534">H1672+H1700</f>
        <v>0</v>
      </c>
      <c r="I1671" s="591">
        <f t="shared" si="534"/>
        <v>15475.19555</v>
      </c>
      <c r="J1671" s="591">
        <f t="shared" si="534"/>
        <v>161</v>
      </c>
      <c r="K1671" s="591">
        <f t="shared" si="534"/>
        <v>3340.7782299999999</v>
      </c>
      <c r="L1671" s="591">
        <f t="shared" si="534"/>
        <v>161</v>
      </c>
      <c r="M1671" s="217">
        <f t="shared" si="532"/>
        <v>0</v>
      </c>
      <c r="N1671" s="42">
        <f>N1672</f>
        <v>8534.0360000000001</v>
      </c>
      <c r="R1671" s="591">
        <f t="shared" ref="R1671:S1673" si="535">R1672</f>
        <v>11918.022580000001</v>
      </c>
      <c r="S1671" s="591">
        <f t="shared" si="535"/>
        <v>0</v>
      </c>
      <c r="T1671" s="217">
        <f t="shared" si="533"/>
        <v>3340.7782299999999</v>
      </c>
      <c r="U1671" s="498">
        <f t="shared" ref="U1671:V1673" si="536">U1672</f>
        <v>10844.282219999999</v>
      </c>
      <c r="V1671" s="498">
        <f t="shared" si="536"/>
        <v>0</v>
      </c>
      <c r="W1671" s="203">
        <f t="shared" si="524"/>
        <v>-3340.7782299999999</v>
      </c>
      <c r="X1671" s="203">
        <f t="shared" si="525"/>
        <v>0</v>
      </c>
    </row>
    <row r="1672" spans="1:24" s="176" customFormat="1" ht="15" x14ac:dyDescent="0.2">
      <c r="A1672" s="746" t="s">
        <v>314</v>
      </c>
      <c r="B1672" s="306" t="s">
        <v>182</v>
      </c>
      <c r="C1672" s="354" t="s">
        <v>605</v>
      </c>
      <c r="D1672" s="354" t="s">
        <v>607</v>
      </c>
      <c r="E1672" s="450" t="s">
        <v>310</v>
      </c>
      <c r="F1672" s="450"/>
      <c r="G1672" s="591">
        <f t="shared" ref="G1672:J1673" si="537">G1673</f>
        <v>12134.41732</v>
      </c>
      <c r="H1672" s="591">
        <f t="shared" si="537"/>
        <v>0</v>
      </c>
      <c r="I1672" s="591">
        <f t="shared" si="537"/>
        <v>15314.19555</v>
      </c>
      <c r="J1672" s="591">
        <f t="shared" si="537"/>
        <v>0</v>
      </c>
      <c r="K1672" s="591">
        <f t="shared" si="529"/>
        <v>3179.7782299999999</v>
      </c>
      <c r="L1672" s="591">
        <f t="shared" si="530"/>
        <v>0</v>
      </c>
      <c r="M1672" s="217">
        <f t="shared" si="532"/>
        <v>0</v>
      </c>
      <c r="N1672" s="42">
        <f>N1673</f>
        <v>8534.0360000000001</v>
      </c>
      <c r="R1672" s="591">
        <f t="shared" si="535"/>
        <v>11918.022580000001</v>
      </c>
      <c r="S1672" s="591">
        <f t="shared" si="535"/>
        <v>0</v>
      </c>
      <c r="T1672" s="217">
        <f t="shared" si="533"/>
        <v>3179.7782299999999</v>
      </c>
      <c r="U1672" s="498">
        <f t="shared" si="536"/>
        <v>10844.282219999999</v>
      </c>
      <c r="V1672" s="498">
        <f t="shared" si="536"/>
        <v>0</v>
      </c>
      <c r="W1672" s="203">
        <f t="shared" si="524"/>
        <v>-3179.7782299999999</v>
      </c>
      <c r="X1672" s="203">
        <f t="shared" si="525"/>
        <v>0</v>
      </c>
    </row>
    <row r="1673" spans="1:24" s="176" customFormat="1" ht="15" x14ac:dyDescent="0.2">
      <c r="A1673" s="746" t="s">
        <v>1756</v>
      </c>
      <c r="B1673" s="306" t="s">
        <v>182</v>
      </c>
      <c r="C1673" s="354" t="s">
        <v>605</v>
      </c>
      <c r="D1673" s="354" t="s">
        <v>607</v>
      </c>
      <c r="E1673" s="450" t="s">
        <v>311</v>
      </c>
      <c r="F1673" s="450"/>
      <c r="G1673" s="591">
        <f t="shared" si="537"/>
        <v>12134.41732</v>
      </c>
      <c r="H1673" s="591">
        <f t="shared" si="537"/>
        <v>0</v>
      </c>
      <c r="I1673" s="591">
        <f t="shared" si="537"/>
        <v>15314.19555</v>
      </c>
      <c r="J1673" s="591">
        <f t="shared" si="537"/>
        <v>0</v>
      </c>
      <c r="K1673" s="591">
        <f t="shared" si="529"/>
        <v>3179.7782299999999</v>
      </c>
      <c r="L1673" s="591">
        <f t="shared" si="530"/>
        <v>0</v>
      </c>
      <c r="M1673" s="217">
        <f t="shared" si="532"/>
        <v>0</v>
      </c>
      <c r="N1673" s="42">
        <f>N1674</f>
        <v>8534.0360000000001</v>
      </c>
      <c r="R1673" s="591">
        <f t="shared" si="535"/>
        <v>11918.022580000001</v>
      </c>
      <c r="S1673" s="591">
        <f t="shared" si="535"/>
        <v>0</v>
      </c>
      <c r="T1673" s="217">
        <f t="shared" si="533"/>
        <v>3179.7782299999999</v>
      </c>
      <c r="U1673" s="498">
        <f t="shared" si="536"/>
        <v>10844.282219999999</v>
      </c>
      <c r="V1673" s="498">
        <f t="shared" si="536"/>
        <v>0</v>
      </c>
      <c r="W1673" s="203">
        <f t="shared" si="524"/>
        <v>-3179.7782299999999</v>
      </c>
      <c r="X1673" s="203">
        <f t="shared" si="525"/>
        <v>0</v>
      </c>
    </row>
    <row r="1674" spans="1:24" s="176" customFormat="1" ht="15" x14ac:dyDescent="0.2">
      <c r="A1674" s="746" t="s">
        <v>1755</v>
      </c>
      <c r="B1674" s="306" t="s">
        <v>182</v>
      </c>
      <c r="C1674" s="354" t="s">
        <v>605</v>
      </c>
      <c r="D1674" s="354" t="s">
        <v>607</v>
      </c>
      <c r="E1674" s="450" t="s">
        <v>309</v>
      </c>
      <c r="F1674" s="450"/>
      <c r="G1674" s="591">
        <f>G1686+G1677+G1675+G1697+G1683+G1694</f>
        <v>12134.41732</v>
      </c>
      <c r="H1674" s="591">
        <f>H1686+H1677+H1675+H1697+H1683+H1694</f>
        <v>0</v>
      </c>
      <c r="I1674" s="591">
        <f>I1686+I1677+I1675+I1697+I1683+I1694</f>
        <v>15314.19555</v>
      </c>
      <c r="J1674" s="591">
        <f>J1686+J1677+J1675+J1697+J1683+J1694</f>
        <v>0</v>
      </c>
      <c r="K1674" s="591">
        <f t="shared" si="529"/>
        <v>3179.7782299999999</v>
      </c>
      <c r="L1674" s="591">
        <f t="shared" si="530"/>
        <v>0</v>
      </c>
      <c r="M1674" s="217">
        <f t="shared" si="532"/>
        <v>0</v>
      </c>
      <c r="N1674" s="42">
        <f>N1686+N1677</f>
        <v>8534.0360000000001</v>
      </c>
      <c r="R1674" s="591">
        <f>R1686+R1677+R1675+R1697+R1683</f>
        <v>11918.022580000001</v>
      </c>
      <c r="S1674" s="591">
        <f>S1686+S1677+S1675+S1697+S1683</f>
        <v>0</v>
      </c>
      <c r="T1674" s="217">
        <f t="shared" si="533"/>
        <v>3179.7782299999999</v>
      </c>
      <c r="U1674" s="498">
        <f>U1686+U1677+U1675+U1697</f>
        <v>10844.282219999999</v>
      </c>
      <c r="V1674" s="498">
        <f>V1686+V1677+V1675+V1697</f>
        <v>0</v>
      </c>
      <c r="W1674" s="203">
        <f t="shared" si="524"/>
        <v>-3179.7782299999999</v>
      </c>
      <c r="X1674" s="203">
        <f t="shared" si="525"/>
        <v>0</v>
      </c>
    </row>
    <row r="1675" spans="1:24" s="176" customFormat="1" ht="12" hidden="1" customHeight="1" x14ac:dyDescent="0.2">
      <c r="A1675" s="451" t="s">
        <v>1603</v>
      </c>
      <c r="B1675" s="306" t="s">
        <v>182</v>
      </c>
      <c r="C1675" s="354" t="s">
        <v>605</v>
      </c>
      <c r="D1675" s="354" t="s">
        <v>607</v>
      </c>
      <c r="E1675" s="450" t="s">
        <v>977</v>
      </c>
      <c r="F1675" s="450"/>
      <c r="G1675" s="498">
        <f>G1676</f>
        <v>0</v>
      </c>
      <c r="H1675" s="498">
        <f>H1676</f>
        <v>0</v>
      </c>
      <c r="I1675" s="591">
        <f>I1676</f>
        <v>0</v>
      </c>
      <c r="J1675" s="591">
        <f>J1676</f>
        <v>0</v>
      </c>
      <c r="K1675" s="591">
        <f t="shared" si="529"/>
        <v>0</v>
      </c>
      <c r="L1675" s="591">
        <f t="shared" si="530"/>
        <v>0</v>
      </c>
      <c r="M1675" s="217">
        <f t="shared" si="532"/>
        <v>0</v>
      </c>
      <c r="N1675" s="42"/>
      <c r="R1675" s="591">
        <f>R1676</f>
        <v>0</v>
      </c>
      <c r="S1675" s="591">
        <f>S1676</f>
        <v>0</v>
      </c>
      <c r="T1675" s="217"/>
      <c r="U1675" s="498">
        <f>U1676</f>
        <v>0</v>
      </c>
      <c r="V1675" s="498">
        <f>V1676</f>
        <v>0</v>
      </c>
      <c r="W1675" s="203">
        <f t="shared" si="524"/>
        <v>0</v>
      </c>
      <c r="X1675" s="203">
        <f t="shared" si="525"/>
        <v>0</v>
      </c>
    </row>
    <row r="1676" spans="1:24" s="176" customFormat="1" ht="12" hidden="1" customHeight="1" x14ac:dyDescent="0.2">
      <c r="A1676" s="124" t="s">
        <v>1576</v>
      </c>
      <c r="B1676" s="243" t="s">
        <v>182</v>
      </c>
      <c r="C1676" s="353" t="s">
        <v>605</v>
      </c>
      <c r="D1676" s="353" t="s">
        <v>607</v>
      </c>
      <c r="E1676" s="369" t="s">
        <v>977</v>
      </c>
      <c r="F1676" s="369" t="s">
        <v>635</v>
      </c>
      <c r="G1676" s="288"/>
      <c r="H1676" s="288"/>
      <c r="I1676" s="288"/>
      <c r="J1676" s="288"/>
      <c r="K1676" s="43">
        <f t="shared" si="529"/>
        <v>0</v>
      </c>
      <c r="L1676" s="43">
        <f t="shared" si="530"/>
        <v>0</v>
      </c>
      <c r="M1676" s="217">
        <f t="shared" si="532"/>
        <v>0</v>
      </c>
      <c r="N1676" s="42"/>
      <c r="R1676" s="288"/>
      <c r="S1676" s="288"/>
      <c r="T1676" s="217"/>
      <c r="U1676" s="288"/>
      <c r="V1676" s="288"/>
      <c r="W1676" s="203">
        <f t="shared" si="524"/>
        <v>0</v>
      </c>
      <c r="X1676" s="203">
        <f t="shared" si="525"/>
        <v>0</v>
      </c>
    </row>
    <row r="1677" spans="1:24" ht="15" x14ac:dyDescent="0.2">
      <c r="A1677" s="746" t="s">
        <v>1754</v>
      </c>
      <c r="B1677" s="306" t="s">
        <v>182</v>
      </c>
      <c r="C1677" s="354" t="s">
        <v>605</v>
      </c>
      <c r="D1677" s="354" t="s">
        <v>607</v>
      </c>
      <c r="E1677" s="450" t="s">
        <v>340</v>
      </c>
      <c r="F1677" s="450"/>
      <c r="G1677" s="591">
        <f>SUM(G1678:G1682)</f>
        <v>4940.0567699999992</v>
      </c>
      <c r="H1677" s="591">
        <f>SUM(H1678:H1682)</f>
        <v>0</v>
      </c>
      <c r="I1677" s="591">
        <f>SUM(I1678:I1682)</f>
        <v>5800.0567699999992</v>
      </c>
      <c r="J1677" s="591">
        <f>SUM(J1678:J1682)</f>
        <v>0</v>
      </c>
      <c r="K1677" s="591">
        <f t="shared" si="529"/>
        <v>860</v>
      </c>
      <c r="L1677" s="591">
        <f t="shared" si="530"/>
        <v>0</v>
      </c>
      <c r="M1677" s="217">
        <f t="shared" si="532"/>
        <v>0</v>
      </c>
      <c r="N1677" s="42">
        <f>SUM(N1678:N1682)</f>
        <v>2950.8359999999998</v>
      </c>
      <c r="R1677" s="591">
        <f>SUM(R1678:R1682)</f>
        <v>4800</v>
      </c>
      <c r="S1677" s="591">
        <f>SUM(S1678:S1682)</f>
        <v>0</v>
      </c>
      <c r="T1677" s="217">
        <f>I1677-G1677</f>
        <v>860</v>
      </c>
      <c r="U1677" s="498">
        <f>SUM(U1678:U1682)</f>
        <v>4200</v>
      </c>
      <c r="V1677" s="498">
        <f>SUM(V1678:V1682)</f>
        <v>0</v>
      </c>
      <c r="W1677" s="203">
        <f t="shared" si="524"/>
        <v>-860</v>
      </c>
      <c r="X1677" s="203">
        <f t="shared" si="525"/>
        <v>0</v>
      </c>
    </row>
    <row r="1678" spans="1:24" ht="15" x14ac:dyDescent="0.2">
      <c r="A1678" s="744" t="s">
        <v>529</v>
      </c>
      <c r="B1678" s="243" t="s">
        <v>182</v>
      </c>
      <c r="C1678" s="353" t="s">
        <v>605</v>
      </c>
      <c r="D1678" s="353" t="s">
        <v>607</v>
      </c>
      <c r="E1678" s="369" t="s">
        <v>340</v>
      </c>
      <c r="F1678" s="369" t="s">
        <v>129</v>
      </c>
      <c r="G1678" s="288">
        <v>3714.0394799999999</v>
      </c>
      <c r="H1678" s="288"/>
      <c r="I1678" s="288">
        <v>4297.75648</v>
      </c>
      <c r="J1678" s="288"/>
      <c r="K1678" s="43">
        <f t="shared" si="529"/>
        <v>583.7170000000001</v>
      </c>
      <c r="L1678" s="43">
        <f t="shared" si="530"/>
        <v>0</v>
      </c>
      <c r="M1678" s="217">
        <f t="shared" si="532"/>
        <v>0</v>
      </c>
      <c r="N1678" s="43">
        <f>2949.2-684.1+28.676-106.5</f>
        <v>2187.2759999999998</v>
      </c>
      <c r="R1678" s="288">
        <v>3581.413</v>
      </c>
      <c r="S1678" s="288"/>
      <c r="T1678" s="217">
        <f>I1678-G1678</f>
        <v>583.7170000000001</v>
      </c>
      <c r="U1678" s="288">
        <v>3117.6</v>
      </c>
      <c r="V1678" s="288">
        <v>0</v>
      </c>
      <c r="W1678" s="203">
        <f t="shared" si="524"/>
        <v>-583.7170000000001</v>
      </c>
      <c r="X1678" s="203">
        <f t="shared" si="525"/>
        <v>0</v>
      </c>
    </row>
    <row r="1679" spans="1:24" ht="25.5" x14ac:dyDescent="0.2">
      <c r="A1679" s="744" t="s">
        <v>572</v>
      </c>
      <c r="B1679" s="243" t="s">
        <v>182</v>
      </c>
      <c r="C1679" s="353" t="s">
        <v>605</v>
      </c>
      <c r="D1679" s="353" t="s">
        <v>607</v>
      </c>
      <c r="E1679" s="369" t="s">
        <v>340</v>
      </c>
      <c r="F1679" s="369" t="s">
        <v>636</v>
      </c>
      <c r="G1679" s="288">
        <v>4.2</v>
      </c>
      <c r="H1679" s="288"/>
      <c r="I1679" s="288">
        <v>4.2</v>
      </c>
      <c r="J1679" s="288"/>
      <c r="K1679" s="43">
        <f t="shared" si="529"/>
        <v>0</v>
      </c>
      <c r="L1679" s="43">
        <f t="shared" si="530"/>
        <v>0</v>
      </c>
      <c r="M1679" s="217">
        <f t="shared" si="532"/>
        <v>0</v>
      </c>
      <c r="N1679" s="43"/>
      <c r="R1679" s="288">
        <v>4.2</v>
      </c>
      <c r="S1679" s="288"/>
      <c r="T1679" s="217"/>
      <c r="U1679" s="288"/>
      <c r="V1679" s="288"/>
      <c r="W1679" s="203">
        <f t="shared" si="524"/>
        <v>0</v>
      </c>
      <c r="X1679" s="203">
        <f t="shared" si="525"/>
        <v>0</v>
      </c>
    </row>
    <row r="1680" spans="1:24" ht="25.5" x14ac:dyDescent="0.2">
      <c r="A1680" s="744" t="s">
        <v>572</v>
      </c>
      <c r="B1680" s="243" t="s">
        <v>182</v>
      </c>
      <c r="C1680" s="353" t="s">
        <v>605</v>
      </c>
      <c r="D1680" s="353" t="s">
        <v>607</v>
      </c>
      <c r="E1680" s="369" t="s">
        <v>340</v>
      </c>
      <c r="F1680" s="369" t="s">
        <v>524</v>
      </c>
      <c r="G1680" s="288">
        <v>1121.62229</v>
      </c>
      <c r="H1680" s="288"/>
      <c r="I1680" s="288">
        <v>1297.9052899999999</v>
      </c>
      <c r="J1680" s="288"/>
      <c r="K1680" s="43">
        <f t="shared" si="529"/>
        <v>176.2829999999999</v>
      </c>
      <c r="L1680" s="43">
        <f t="shared" si="530"/>
        <v>0</v>
      </c>
      <c r="M1680" s="217">
        <f t="shared" si="532"/>
        <v>0</v>
      </c>
      <c r="N1680" s="43">
        <f>684.1+8.66-32.2</f>
        <v>660.56</v>
      </c>
      <c r="R1680" s="288">
        <v>1081.587</v>
      </c>
      <c r="S1680" s="288"/>
      <c r="T1680" s="217">
        <f t="shared" ref="T1680:T1693" si="538">I1680-G1680</f>
        <v>176.2829999999999</v>
      </c>
      <c r="U1680" s="288">
        <v>941.5</v>
      </c>
      <c r="V1680" s="288">
        <v>0</v>
      </c>
      <c r="W1680" s="203">
        <f t="shared" si="524"/>
        <v>-176.2829999999999</v>
      </c>
      <c r="X1680" s="203">
        <f t="shared" si="525"/>
        <v>0</v>
      </c>
    </row>
    <row r="1681" spans="1:24" ht="15" x14ac:dyDescent="0.2">
      <c r="A1681" s="744" t="s">
        <v>233</v>
      </c>
      <c r="B1681" s="243" t="s">
        <v>182</v>
      </c>
      <c r="C1681" s="353" t="s">
        <v>605</v>
      </c>
      <c r="D1681" s="353" t="s">
        <v>607</v>
      </c>
      <c r="E1681" s="369" t="s">
        <v>340</v>
      </c>
      <c r="F1681" s="369" t="s">
        <v>635</v>
      </c>
      <c r="G1681" s="288">
        <v>29.855</v>
      </c>
      <c r="H1681" s="288"/>
      <c r="I1681" s="288">
        <v>29.855</v>
      </c>
      <c r="J1681" s="288"/>
      <c r="K1681" s="43">
        <f t="shared" si="529"/>
        <v>0</v>
      </c>
      <c r="L1681" s="43">
        <f t="shared" si="530"/>
        <v>0</v>
      </c>
      <c r="M1681" s="217">
        <f t="shared" si="532"/>
        <v>0</v>
      </c>
      <c r="N1681" s="43">
        <v>85</v>
      </c>
      <c r="R1681" s="288">
        <v>76.09</v>
      </c>
      <c r="S1681" s="288"/>
      <c r="T1681" s="217">
        <f t="shared" si="538"/>
        <v>0</v>
      </c>
      <c r="U1681" s="288">
        <v>118</v>
      </c>
      <c r="V1681" s="288">
        <v>0</v>
      </c>
      <c r="W1681" s="203">
        <f t="shared" si="524"/>
        <v>0</v>
      </c>
      <c r="X1681" s="203">
        <f t="shared" si="525"/>
        <v>0</v>
      </c>
    </row>
    <row r="1682" spans="1:24" ht="15" x14ac:dyDescent="0.2">
      <c r="A1682" s="744" t="s">
        <v>834</v>
      </c>
      <c r="B1682" s="243" t="s">
        <v>182</v>
      </c>
      <c r="C1682" s="353" t="s">
        <v>605</v>
      </c>
      <c r="D1682" s="353" t="s">
        <v>607</v>
      </c>
      <c r="E1682" s="369" t="s">
        <v>340</v>
      </c>
      <c r="F1682" s="369" t="s">
        <v>634</v>
      </c>
      <c r="G1682" s="288">
        <v>70.34</v>
      </c>
      <c r="H1682" s="288"/>
      <c r="I1682" s="288">
        <v>170.34</v>
      </c>
      <c r="J1682" s="288"/>
      <c r="K1682" s="43">
        <f t="shared" si="529"/>
        <v>100</v>
      </c>
      <c r="L1682" s="43">
        <f t="shared" si="530"/>
        <v>0</v>
      </c>
      <c r="M1682" s="217">
        <f t="shared" si="532"/>
        <v>0</v>
      </c>
      <c r="N1682" s="43">
        <v>18</v>
      </c>
      <c r="R1682" s="288">
        <v>56.71</v>
      </c>
      <c r="S1682" s="288"/>
      <c r="T1682" s="217">
        <f t="shared" si="538"/>
        <v>100</v>
      </c>
      <c r="U1682" s="288">
        <v>22.9</v>
      </c>
      <c r="V1682" s="288">
        <v>0</v>
      </c>
      <c r="W1682" s="203">
        <f t="shared" si="524"/>
        <v>-100</v>
      </c>
      <c r="X1682" s="203">
        <f t="shared" si="525"/>
        <v>0</v>
      </c>
    </row>
    <row r="1683" spans="1:24" ht="15" x14ac:dyDescent="0.2">
      <c r="A1683" s="746" t="s">
        <v>1604</v>
      </c>
      <c r="B1683" s="306" t="s">
        <v>182</v>
      </c>
      <c r="C1683" s="354" t="s">
        <v>605</v>
      </c>
      <c r="D1683" s="354" t="s">
        <v>607</v>
      </c>
      <c r="E1683" s="572">
        <v>7110184050</v>
      </c>
      <c r="F1683" s="572"/>
      <c r="G1683" s="591">
        <f>G1684+G1685</f>
        <v>6</v>
      </c>
      <c r="H1683" s="591">
        <f>H1684+H1685</f>
        <v>0</v>
      </c>
      <c r="I1683" s="591">
        <f>I1684+I1685</f>
        <v>6</v>
      </c>
      <c r="J1683" s="591">
        <f>J1684+J1685</f>
        <v>0</v>
      </c>
      <c r="K1683" s="42">
        <f t="shared" si="529"/>
        <v>0</v>
      </c>
      <c r="L1683" s="42">
        <f t="shared" si="530"/>
        <v>0</v>
      </c>
      <c r="M1683" s="217"/>
      <c r="N1683" s="43"/>
      <c r="R1683" s="591">
        <f>R1684+R1685</f>
        <v>6</v>
      </c>
      <c r="S1683" s="591">
        <f>S1684+S1685</f>
        <v>0</v>
      </c>
      <c r="T1683" s="217"/>
      <c r="U1683" s="288"/>
      <c r="V1683" s="288"/>
      <c r="W1683" s="203"/>
      <c r="X1683" s="203"/>
    </row>
    <row r="1684" spans="1:24" ht="15" x14ac:dyDescent="0.2">
      <c r="A1684" s="739" t="s">
        <v>1576</v>
      </c>
      <c r="B1684" s="243" t="s">
        <v>182</v>
      </c>
      <c r="C1684" s="353" t="s">
        <v>605</v>
      </c>
      <c r="D1684" s="353" t="s">
        <v>607</v>
      </c>
      <c r="E1684" s="369">
        <v>7110184050</v>
      </c>
      <c r="F1684" s="369" t="s">
        <v>129</v>
      </c>
      <c r="G1684" s="130">
        <v>4.6082900000000002</v>
      </c>
      <c r="H1684" s="288"/>
      <c r="I1684" s="130">
        <v>4.6082900000000002</v>
      </c>
      <c r="J1684" s="288"/>
      <c r="K1684" s="43">
        <f t="shared" si="529"/>
        <v>0</v>
      </c>
      <c r="L1684" s="43">
        <f t="shared" si="530"/>
        <v>0</v>
      </c>
      <c r="M1684" s="217"/>
      <c r="N1684" s="43"/>
      <c r="R1684" s="130">
        <v>4.6082900000000002</v>
      </c>
      <c r="S1684" s="288"/>
      <c r="T1684" s="217"/>
      <c r="U1684" s="288"/>
      <c r="V1684" s="288"/>
      <c r="W1684" s="203"/>
      <c r="X1684" s="203"/>
    </row>
    <row r="1685" spans="1:24" ht="25.5" x14ac:dyDescent="0.2">
      <c r="A1685" s="739" t="s">
        <v>1578</v>
      </c>
      <c r="B1685" s="243" t="s">
        <v>182</v>
      </c>
      <c r="C1685" s="353" t="s">
        <v>605</v>
      </c>
      <c r="D1685" s="353" t="s">
        <v>607</v>
      </c>
      <c r="E1685" s="369">
        <v>7110184050</v>
      </c>
      <c r="F1685" s="369" t="s">
        <v>524</v>
      </c>
      <c r="G1685" s="130">
        <v>1.39171</v>
      </c>
      <c r="H1685" s="288"/>
      <c r="I1685" s="130">
        <v>1.39171</v>
      </c>
      <c r="J1685" s="288"/>
      <c r="K1685" s="43">
        <f t="shared" si="529"/>
        <v>0</v>
      </c>
      <c r="L1685" s="43">
        <f t="shared" si="530"/>
        <v>0</v>
      </c>
      <c r="M1685" s="217"/>
      <c r="N1685" s="43"/>
      <c r="R1685" s="130">
        <v>1.39171</v>
      </c>
      <c r="S1685" s="288"/>
      <c r="T1685" s="217"/>
      <c r="U1685" s="288"/>
      <c r="V1685" s="288"/>
      <c r="W1685" s="203"/>
      <c r="X1685" s="203"/>
    </row>
    <row r="1686" spans="1:24" s="176" customFormat="1" ht="15" x14ac:dyDescent="0.2">
      <c r="A1686" s="746" t="s">
        <v>643</v>
      </c>
      <c r="B1686" s="306" t="s">
        <v>182</v>
      </c>
      <c r="C1686" s="354" t="s">
        <v>605</v>
      </c>
      <c r="D1686" s="354" t="s">
        <v>607</v>
      </c>
      <c r="E1686" s="450" t="s">
        <v>581</v>
      </c>
      <c r="F1686" s="450"/>
      <c r="G1686" s="591">
        <f>SUM(G1687:G1693)</f>
        <v>2953.4355500000001</v>
      </c>
      <c r="H1686" s="591">
        <f>SUM(H1687:H1693)</f>
        <v>0</v>
      </c>
      <c r="I1686" s="591">
        <f>SUM(I1687:I1693)</f>
        <v>3409.8057800000001</v>
      </c>
      <c r="J1686" s="591">
        <f>SUM(J1687:J1693)</f>
        <v>0</v>
      </c>
      <c r="K1686" s="591">
        <f t="shared" si="529"/>
        <v>456.37022999999999</v>
      </c>
      <c r="L1686" s="591">
        <f t="shared" si="530"/>
        <v>0</v>
      </c>
      <c r="M1686" s="217">
        <f t="shared" si="532"/>
        <v>0</v>
      </c>
      <c r="N1686" s="42">
        <f>SUM(N1687:N1692)</f>
        <v>5583.2</v>
      </c>
      <c r="P1686" s="189">
        <f>G1688+G1690+G1691</f>
        <v>479.25612000000001</v>
      </c>
      <c r="R1686" s="591">
        <f>SUM(R1687:R1693)</f>
        <v>3464.5765800000004</v>
      </c>
      <c r="S1686" s="591">
        <f>SUM(S1687:S1693)</f>
        <v>0</v>
      </c>
      <c r="T1686" s="217">
        <f t="shared" si="538"/>
        <v>456.37022999999999</v>
      </c>
      <c r="U1686" s="498">
        <f>SUM(U1687:U1693)</f>
        <v>5618.5622200000007</v>
      </c>
      <c r="V1686" s="498">
        <f>SUM(V1687:V1693)</f>
        <v>0</v>
      </c>
      <c r="W1686" s="203">
        <f t="shared" si="524"/>
        <v>-456.37022999999999</v>
      </c>
      <c r="X1686" s="203">
        <f t="shared" si="525"/>
        <v>0</v>
      </c>
    </row>
    <row r="1687" spans="1:24" s="176" customFormat="1" ht="15" x14ac:dyDescent="0.2">
      <c r="A1687" s="744" t="s">
        <v>529</v>
      </c>
      <c r="B1687" s="243" t="s">
        <v>182</v>
      </c>
      <c r="C1687" s="353" t="s">
        <v>605</v>
      </c>
      <c r="D1687" s="353" t="s">
        <v>607</v>
      </c>
      <c r="E1687" s="369" t="s">
        <v>581</v>
      </c>
      <c r="F1687" s="369" t="s">
        <v>129</v>
      </c>
      <c r="G1687" s="288">
        <v>1900.2914499999999</v>
      </c>
      <c r="H1687" s="288"/>
      <c r="I1687" s="288">
        <v>2311.4459700000002</v>
      </c>
      <c r="J1687" s="288"/>
      <c r="K1687" s="43">
        <f t="shared" si="529"/>
        <v>411.15452000000028</v>
      </c>
      <c r="L1687" s="43">
        <f t="shared" si="530"/>
        <v>0</v>
      </c>
      <c r="M1687" s="217">
        <f t="shared" si="532"/>
        <v>0</v>
      </c>
      <c r="N1687" s="43">
        <f>4774.7-1107.5+327.6+229.9</f>
        <v>4224.7</v>
      </c>
      <c r="P1687" s="43">
        <v>4300.1180000000004</v>
      </c>
      <c r="Q1687" s="258"/>
      <c r="R1687" s="288">
        <v>2239.3104800000001</v>
      </c>
      <c r="S1687" s="288"/>
      <c r="T1687" s="217">
        <f t="shared" si="538"/>
        <v>411.15452000000028</v>
      </c>
      <c r="U1687" s="288">
        <v>3920.4580000000001</v>
      </c>
      <c r="V1687" s="288">
        <v>0</v>
      </c>
      <c r="W1687" s="203">
        <f t="shared" si="524"/>
        <v>-411.15452000000028</v>
      </c>
      <c r="X1687" s="203">
        <f t="shared" si="525"/>
        <v>0</v>
      </c>
    </row>
    <row r="1688" spans="1:24" s="176" customFormat="1" ht="15" x14ac:dyDescent="0.2">
      <c r="A1688" s="744" t="s">
        <v>191</v>
      </c>
      <c r="B1688" s="243" t="s">
        <v>182</v>
      </c>
      <c r="C1688" s="353" t="s">
        <v>605</v>
      </c>
      <c r="D1688" s="353" t="s">
        <v>607</v>
      </c>
      <c r="E1688" s="369" t="s">
        <v>581</v>
      </c>
      <c r="F1688" s="369" t="s">
        <v>636</v>
      </c>
      <c r="G1688" s="288">
        <v>10</v>
      </c>
      <c r="H1688" s="288"/>
      <c r="I1688" s="288">
        <v>10</v>
      </c>
      <c r="J1688" s="288"/>
      <c r="K1688" s="43">
        <f t="shared" si="529"/>
        <v>0</v>
      </c>
      <c r="L1688" s="43">
        <f t="shared" si="530"/>
        <v>0</v>
      </c>
      <c r="M1688" s="217">
        <f t="shared" si="532"/>
        <v>0</v>
      </c>
      <c r="N1688" s="43">
        <v>6.3</v>
      </c>
      <c r="P1688" s="43">
        <v>8.1999999999999993</v>
      </c>
      <c r="Q1688" s="258"/>
      <c r="R1688" s="288">
        <v>11.4</v>
      </c>
      <c r="S1688" s="288"/>
      <c r="T1688" s="217">
        <f t="shared" si="538"/>
        <v>0</v>
      </c>
      <c r="U1688" s="288">
        <v>4</v>
      </c>
      <c r="V1688" s="288">
        <v>0</v>
      </c>
      <c r="W1688" s="203">
        <f t="shared" si="524"/>
        <v>0</v>
      </c>
      <c r="X1688" s="203">
        <f t="shared" si="525"/>
        <v>0</v>
      </c>
    </row>
    <row r="1689" spans="1:24" s="176" customFormat="1" ht="25.5" x14ac:dyDescent="0.2">
      <c r="A1689" s="744" t="s">
        <v>572</v>
      </c>
      <c r="B1689" s="243" t="s">
        <v>182</v>
      </c>
      <c r="C1689" s="353" t="s">
        <v>605</v>
      </c>
      <c r="D1689" s="353" t="s">
        <v>607</v>
      </c>
      <c r="E1689" s="369" t="s">
        <v>581</v>
      </c>
      <c r="F1689" s="369" t="s">
        <v>524</v>
      </c>
      <c r="G1689" s="288">
        <v>573.88797999999997</v>
      </c>
      <c r="H1689" s="288"/>
      <c r="I1689" s="288">
        <v>771.30368999999996</v>
      </c>
      <c r="J1689" s="288"/>
      <c r="K1689" s="43">
        <f t="shared" si="529"/>
        <v>197.41570999999999</v>
      </c>
      <c r="L1689" s="43">
        <f t="shared" si="530"/>
        <v>0</v>
      </c>
      <c r="M1689" s="217">
        <f t="shared" si="532"/>
        <v>0</v>
      </c>
      <c r="N1689" s="43">
        <f>1107.5+98.9+69.5</f>
        <v>1275.9000000000001</v>
      </c>
      <c r="P1689" s="43">
        <v>1280.704</v>
      </c>
      <c r="Q1689" s="258"/>
      <c r="R1689" s="288">
        <v>676.26610000000005</v>
      </c>
      <c r="S1689" s="288"/>
      <c r="T1689" s="217">
        <f t="shared" si="538"/>
        <v>197.41570999999999</v>
      </c>
      <c r="U1689" s="288">
        <v>1183.9760000000001</v>
      </c>
      <c r="V1689" s="288">
        <v>0</v>
      </c>
      <c r="W1689" s="203">
        <f t="shared" si="524"/>
        <v>-197.41570999999999</v>
      </c>
      <c r="X1689" s="203">
        <f t="shared" si="525"/>
        <v>0</v>
      </c>
    </row>
    <row r="1690" spans="1:24" s="176" customFormat="1" ht="15" x14ac:dyDescent="0.2">
      <c r="A1690" s="744" t="s">
        <v>233</v>
      </c>
      <c r="B1690" s="243" t="s">
        <v>182</v>
      </c>
      <c r="C1690" s="353" t="s">
        <v>605</v>
      </c>
      <c r="D1690" s="353" t="s">
        <v>607</v>
      </c>
      <c r="E1690" s="369" t="s">
        <v>581</v>
      </c>
      <c r="F1690" s="369" t="s">
        <v>635</v>
      </c>
      <c r="G1690" s="288">
        <v>403.15611999999999</v>
      </c>
      <c r="H1690" s="288"/>
      <c r="I1690" s="288">
        <v>250.95612</v>
      </c>
      <c r="J1690" s="288"/>
      <c r="K1690" s="43">
        <f t="shared" si="529"/>
        <v>-152.19999999999999</v>
      </c>
      <c r="L1690" s="43">
        <f t="shared" si="530"/>
        <v>0</v>
      </c>
      <c r="M1690" s="217">
        <f t="shared" si="532"/>
        <v>0</v>
      </c>
      <c r="N1690" s="43">
        <v>56.1</v>
      </c>
      <c r="P1690" s="43">
        <v>174.85300000000001</v>
      </c>
      <c r="Q1690" s="258"/>
      <c r="R1690" s="288">
        <v>442.6</v>
      </c>
      <c r="S1690" s="288"/>
      <c r="T1690" s="217">
        <f t="shared" si="538"/>
        <v>-152.19999999999999</v>
      </c>
      <c r="U1690" s="288">
        <v>413.02821999999998</v>
      </c>
      <c r="V1690" s="288">
        <v>0</v>
      </c>
      <c r="W1690" s="203">
        <f t="shared" si="524"/>
        <v>152.19999999999999</v>
      </c>
      <c r="X1690" s="203">
        <f t="shared" si="525"/>
        <v>0</v>
      </c>
    </row>
    <row r="1691" spans="1:24" s="176" customFormat="1" ht="15" x14ac:dyDescent="0.2">
      <c r="A1691" s="744" t="s">
        <v>834</v>
      </c>
      <c r="B1691" s="243" t="s">
        <v>182</v>
      </c>
      <c r="C1691" s="353" t="s">
        <v>605</v>
      </c>
      <c r="D1691" s="353" t="s">
        <v>607</v>
      </c>
      <c r="E1691" s="369" t="s">
        <v>581</v>
      </c>
      <c r="F1691" s="369" t="s">
        <v>634</v>
      </c>
      <c r="G1691" s="288">
        <v>66.099999999999994</v>
      </c>
      <c r="H1691" s="288"/>
      <c r="I1691" s="288">
        <v>66.099400000000003</v>
      </c>
      <c r="J1691" s="288"/>
      <c r="K1691" s="43">
        <f t="shared" si="529"/>
        <v>-5.9999999999149622E-4</v>
      </c>
      <c r="L1691" s="43">
        <f t="shared" si="530"/>
        <v>0</v>
      </c>
      <c r="M1691" s="217">
        <f t="shared" si="532"/>
        <v>0</v>
      </c>
      <c r="N1691" s="43">
        <v>19</v>
      </c>
      <c r="P1691" s="43">
        <v>57.878</v>
      </c>
      <c r="Q1691" s="258"/>
      <c r="R1691" s="288">
        <v>95</v>
      </c>
      <c r="S1691" s="288"/>
      <c r="T1691" s="217">
        <f t="shared" si="538"/>
        <v>-5.9999999999149622E-4</v>
      </c>
      <c r="U1691" s="288">
        <v>96.92</v>
      </c>
      <c r="V1691" s="288">
        <v>0</v>
      </c>
      <c r="W1691" s="203">
        <f t="shared" si="524"/>
        <v>5.9999999999149622E-4</v>
      </c>
      <c r="X1691" s="203">
        <f t="shared" si="525"/>
        <v>0</v>
      </c>
    </row>
    <row r="1692" spans="1:24" s="176" customFormat="1" ht="15" hidden="1" customHeight="1" x14ac:dyDescent="0.2">
      <c r="A1692" s="124" t="s">
        <v>1543</v>
      </c>
      <c r="B1692" s="243" t="s">
        <v>182</v>
      </c>
      <c r="C1692" s="353" t="s">
        <v>605</v>
      </c>
      <c r="D1692" s="353" t="s">
        <v>607</v>
      </c>
      <c r="E1692" s="369" t="s">
        <v>581</v>
      </c>
      <c r="F1692" s="369" t="s">
        <v>289</v>
      </c>
      <c r="G1692" s="288"/>
      <c r="H1692" s="288"/>
      <c r="I1692" s="288"/>
      <c r="J1692" s="288"/>
      <c r="K1692" s="43">
        <f t="shared" si="529"/>
        <v>0</v>
      </c>
      <c r="L1692" s="43">
        <f t="shared" si="530"/>
        <v>0</v>
      </c>
      <c r="M1692" s="217">
        <f t="shared" si="532"/>
        <v>0</v>
      </c>
      <c r="N1692" s="43">
        <v>1.2</v>
      </c>
      <c r="P1692" s="43">
        <v>0.6</v>
      </c>
      <c r="Q1692" s="258"/>
      <c r="R1692" s="288"/>
      <c r="S1692" s="288"/>
      <c r="T1692" s="217">
        <f t="shared" si="538"/>
        <v>0</v>
      </c>
      <c r="U1692" s="288"/>
      <c r="V1692" s="288"/>
      <c r="W1692" s="203">
        <f t="shared" si="524"/>
        <v>0</v>
      </c>
      <c r="X1692" s="203">
        <f t="shared" si="525"/>
        <v>0</v>
      </c>
    </row>
    <row r="1693" spans="1:24" ht="15" hidden="1" customHeight="1" x14ac:dyDescent="0.2">
      <c r="A1693" s="124" t="s">
        <v>1543</v>
      </c>
      <c r="B1693" s="243" t="s">
        <v>182</v>
      </c>
      <c r="C1693" s="353" t="s">
        <v>605</v>
      </c>
      <c r="D1693" s="353" t="s">
        <v>607</v>
      </c>
      <c r="E1693" s="369" t="s">
        <v>581</v>
      </c>
      <c r="F1693" s="369">
        <v>853</v>
      </c>
      <c r="G1693" s="288"/>
      <c r="H1693" s="288"/>
      <c r="I1693" s="288">
        <v>5.9999999999999995E-4</v>
      </c>
      <c r="J1693" s="288"/>
      <c r="K1693" s="43">
        <f t="shared" si="529"/>
        <v>5.9999999999999995E-4</v>
      </c>
      <c r="L1693" s="43">
        <f t="shared" si="530"/>
        <v>0</v>
      </c>
      <c r="M1693" s="217">
        <f t="shared" si="532"/>
        <v>0</v>
      </c>
      <c r="N1693" s="43">
        <v>0</v>
      </c>
      <c r="R1693" s="288"/>
      <c r="S1693" s="288"/>
      <c r="T1693" s="217">
        <f t="shared" si="538"/>
        <v>5.9999999999999995E-4</v>
      </c>
      <c r="U1693" s="288">
        <v>0.18</v>
      </c>
      <c r="V1693" s="288">
        <v>0</v>
      </c>
      <c r="W1693" s="203">
        <f t="shared" si="524"/>
        <v>-5.9999999999999995E-4</v>
      </c>
      <c r="X1693" s="203">
        <f t="shared" si="525"/>
        <v>0</v>
      </c>
    </row>
    <row r="1694" spans="1:24" ht="12.75" customHeight="1" x14ac:dyDescent="0.2">
      <c r="A1694" s="746" t="s">
        <v>1383</v>
      </c>
      <c r="B1694" s="306" t="s">
        <v>182</v>
      </c>
      <c r="C1694" s="354" t="s">
        <v>605</v>
      </c>
      <c r="D1694" s="354" t="s">
        <v>607</v>
      </c>
      <c r="E1694" s="642" t="s">
        <v>1828</v>
      </c>
      <c r="F1694" s="640"/>
      <c r="G1694" s="591">
        <f>G1695+G1696</f>
        <v>4234.9250000000002</v>
      </c>
      <c r="H1694" s="591">
        <f>H1695+H1696</f>
        <v>0</v>
      </c>
      <c r="I1694" s="591">
        <f>I1695+I1696</f>
        <v>3753.2249999999999</v>
      </c>
      <c r="J1694" s="591">
        <f>J1695+J1696</f>
        <v>0</v>
      </c>
      <c r="K1694" s="591">
        <f t="shared" si="529"/>
        <v>-481.70000000000027</v>
      </c>
      <c r="L1694" s="591">
        <f t="shared" si="530"/>
        <v>0</v>
      </c>
      <c r="M1694" s="217"/>
      <c r="N1694" s="43"/>
      <c r="R1694" s="288"/>
      <c r="S1694" s="288"/>
      <c r="T1694" s="217"/>
      <c r="U1694" s="288"/>
      <c r="V1694" s="288"/>
      <c r="W1694" s="203"/>
      <c r="X1694" s="203"/>
    </row>
    <row r="1695" spans="1:24" ht="12.75" customHeight="1" x14ac:dyDescent="0.2">
      <c r="A1695" s="744" t="s">
        <v>529</v>
      </c>
      <c r="B1695" s="243" t="s">
        <v>182</v>
      </c>
      <c r="C1695" s="353" t="s">
        <v>605</v>
      </c>
      <c r="D1695" s="353" t="s">
        <v>607</v>
      </c>
      <c r="E1695" s="386" t="s">
        <v>1828</v>
      </c>
      <c r="F1695" s="369" t="s">
        <v>129</v>
      </c>
      <c r="G1695" s="288">
        <v>3252.63</v>
      </c>
      <c r="H1695" s="288"/>
      <c r="I1695" s="288">
        <v>3106.8622999999998</v>
      </c>
      <c r="J1695" s="288"/>
      <c r="K1695" s="43">
        <f t="shared" si="529"/>
        <v>-145.76770000000033</v>
      </c>
      <c r="L1695" s="43">
        <f t="shared" si="530"/>
        <v>0</v>
      </c>
      <c r="M1695" s="217"/>
      <c r="N1695" s="43"/>
      <c r="R1695" s="288"/>
      <c r="S1695" s="288"/>
      <c r="T1695" s="217"/>
      <c r="U1695" s="288"/>
      <c r="V1695" s="288"/>
      <c r="W1695" s="203"/>
      <c r="X1695" s="203"/>
    </row>
    <row r="1696" spans="1:24" ht="12.75" customHeight="1" x14ac:dyDescent="0.2">
      <c r="A1696" s="744" t="s">
        <v>572</v>
      </c>
      <c r="B1696" s="243" t="s">
        <v>182</v>
      </c>
      <c r="C1696" s="353" t="s">
        <v>605</v>
      </c>
      <c r="D1696" s="353" t="s">
        <v>607</v>
      </c>
      <c r="E1696" s="386" t="s">
        <v>1828</v>
      </c>
      <c r="F1696" s="369" t="s">
        <v>524</v>
      </c>
      <c r="G1696" s="288">
        <v>982.29499999999996</v>
      </c>
      <c r="H1696" s="288"/>
      <c r="I1696" s="288">
        <v>646.36270000000002</v>
      </c>
      <c r="J1696" s="288"/>
      <c r="K1696" s="43">
        <f t="shared" si="529"/>
        <v>-335.93229999999994</v>
      </c>
      <c r="L1696" s="43">
        <f t="shared" si="530"/>
        <v>0</v>
      </c>
      <c r="M1696" s="217"/>
      <c r="N1696" s="43"/>
      <c r="R1696" s="288"/>
      <c r="S1696" s="288"/>
      <c r="T1696" s="217"/>
      <c r="U1696" s="288"/>
      <c r="V1696" s="288"/>
      <c r="W1696" s="203"/>
      <c r="X1696" s="203"/>
    </row>
    <row r="1697" spans="1:24" ht="11.25" customHeight="1" x14ac:dyDescent="0.2">
      <c r="A1697" s="746" t="s">
        <v>2004</v>
      </c>
      <c r="B1697" s="306" t="s">
        <v>182</v>
      </c>
      <c r="C1697" s="354" t="s">
        <v>605</v>
      </c>
      <c r="D1697" s="354" t="s">
        <v>607</v>
      </c>
      <c r="E1697" s="719" t="s">
        <v>2026</v>
      </c>
      <c r="F1697" s="450"/>
      <c r="G1697" s="591">
        <f>G1698+G1699</f>
        <v>0</v>
      </c>
      <c r="H1697" s="591">
        <f>H1698+H1699</f>
        <v>0</v>
      </c>
      <c r="I1697" s="591">
        <f>I1698+I1699</f>
        <v>2345.1080000000002</v>
      </c>
      <c r="J1697" s="591">
        <f>J1698+J1699</f>
        <v>0</v>
      </c>
      <c r="K1697" s="591">
        <f t="shared" si="529"/>
        <v>2345.1080000000002</v>
      </c>
      <c r="L1697" s="591">
        <f t="shared" si="530"/>
        <v>0</v>
      </c>
      <c r="M1697" s="217">
        <f t="shared" si="532"/>
        <v>0</v>
      </c>
      <c r="N1697" s="43"/>
      <c r="R1697" s="591">
        <f>R1698+R1699</f>
        <v>3647.4459999999999</v>
      </c>
      <c r="S1697" s="591">
        <f>S1698+S1699</f>
        <v>0</v>
      </c>
      <c r="T1697" s="217"/>
      <c r="U1697" s="498">
        <f>U1698+U1699</f>
        <v>1025.72</v>
      </c>
      <c r="V1697" s="498">
        <f>V1698+V1699</f>
        <v>0</v>
      </c>
      <c r="W1697" s="203">
        <f t="shared" si="524"/>
        <v>-2345.1080000000002</v>
      </c>
      <c r="X1697" s="203">
        <f t="shared" si="525"/>
        <v>0</v>
      </c>
    </row>
    <row r="1698" spans="1:24" ht="11.25" customHeight="1" x14ac:dyDescent="0.2">
      <c r="A1698" s="739" t="s">
        <v>1576</v>
      </c>
      <c r="B1698" s="243" t="s">
        <v>182</v>
      </c>
      <c r="C1698" s="353" t="s">
        <v>605</v>
      </c>
      <c r="D1698" s="353" t="s">
        <v>607</v>
      </c>
      <c r="E1698" s="369" t="s">
        <v>2026</v>
      </c>
      <c r="F1698" s="369" t="s">
        <v>129</v>
      </c>
      <c r="G1698" s="288"/>
      <c r="H1698" s="288"/>
      <c r="I1698" s="288">
        <v>1634.3340000000001</v>
      </c>
      <c r="J1698" s="288"/>
      <c r="K1698" s="43">
        <f t="shared" si="529"/>
        <v>1634.3340000000001</v>
      </c>
      <c r="L1698" s="43">
        <f t="shared" si="530"/>
        <v>0</v>
      </c>
      <c r="M1698" s="217">
        <f t="shared" si="532"/>
        <v>0</v>
      </c>
      <c r="N1698" s="43"/>
      <c r="R1698" s="288">
        <v>2801.4180000000001</v>
      </c>
      <c r="S1698" s="288"/>
      <c r="T1698" s="217"/>
      <c r="U1698" s="288">
        <v>787.8</v>
      </c>
      <c r="V1698" s="288"/>
      <c r="W1698" s="203">
        <f t="shared" si="524"/>
        <v>-1634.3340000000001</v>
      </c>
      <c r="X1698" s="203">
        <f t="shared" si="525"/>
        <v>0</v>
      </c>
    </row>
    <row r="1699" spans="1:24" ht="15" customHeight="1" x14ac:dyDescent="0.2">
      <c r="A1699" s="739" t="s">
        <v>1578</v>
      </c>
      <c r="B1699" s="243" t="s">
        <v>182</v>
      </c>
      <c r="C1699" s="353" t="s">
        <v>605</v>
      </c>
      <c r="D1699" s="353" t="s">
        <v>607</v>
      </c>
      <c r="E1699" s="369" t="s">
        <v>2026</v>
      </c>
      <c r="F1699" s="369" t="s">
        <v>524</v>
      </c>
      <c r="G1699" s="288"/>
      <c r="H1699" s="288"/>
      <c r="I1699" s="288">
        <v>710.774</v>
      </c>
      <c r="J1699" s="288"/>
      <c r="K1699" s="43">
        <f t="shared" si="529"/>
        <v>710.774</v>
      </c>
      <c r="L1699" s="43">
        <f t="shared" si="530"/>
        <v>0</v>
      </c>
      <c r="M1699" s="217">
        <f t="shared" si="532"/>
        <v>0</v>
      </c>
      <c r="N1699" s="43"/>
      <c r="R1699" s="288">
        <v>846.02800000000002</v>
      </c>
      <c r="S1699" s="288"/>
      <c r="T1699" s="217"/>
      <c r="U1699" s="288">
        <v>237.92</v>
      </c>
      <c r="V1699" s="288"/>
      <c r="W1699" s="203">
        <f t="shared" si="524"/>
        <v>-710.774</v>
      </c>
      <c r="X1699" s="203">
        <f t="shared" si="525"/>
        <v>0</v>
      </c>
    </row>
    <row r="1700" spans="1:24" ht="15" customHeight="1" x14ac:dyDescent="0.2">
      <c r="A1700" s="742" t="s">
        <v>1565</v>
      </c>
      <c r="B1700" s="388" t="s">
        <v>182</v>
      </c>
      <c r="C1700" s="389" t="s">
        <v>605</v>
      </c>
      <c r="D1700" s="389" t="s">
        <v>607</v>
      </c>
      <c r="E1700" s="390">
        <v>9990000000</v>
      </c>
      <c r="F1700" s="390"/>
      <c r="G1700" s="391">
        <f>G1701</f>
        <v>0</v>
      </c>
      <c r="H1700" s="391">
        <f t="shared" ref="H1700:L1700" si="539">H1701</f>
        <v>0</v>
      </c>
      <c r="I1700" s="391">
        <f t="shared" si="539"/>
        <v>161</v>
      </c>
      <c r="J1700" s="391">
        <f t="shared" si="539"/>
        <v>161</v>
      </c>
      <c r="K1700" s="391">
        <f t="shared" si="539"/>
        <v>161</v>
      </c>
      <c r="L1700" s="391">
        <f t="shared" si="539"/>
        <v>161</v>
      </c>
      <c r="M1700" s="217"/>
      <c r="N1700" s="43"/>
      <c r="R1700" s="288"/>
      <c r="S1700" s="288"/>
      <c r="T1700" s="217"/>
      <c r="U1700" s="288"/>
      <c r="V1700" s="288"/>
      <c r="W1700" s="203"/>
      <c r="X1700" s="203"/>
    </row>
    <row r="1701" spans="1:24" ht="15" customHeight="1" x14ac:dyDescent="0.2">
      <c r="A1701" s="742" t="s">
        <v>2002</v>
      </c>
      <c r="B1701" s="388" t="s">
        <v>182</v>
      </c>
      <c r="C1701" s="389" t="s">
        <v>605</v>
      </c>
      <c r="D1701" s="389" t="s">
        <v>607</v>
      </c>
      <c r="E1701" s="390">
        <v>9990055493</v>
      </c>
      <c r="F1701" s="390"/>
      <c r="G1701" s="391">
        <f>G1702+G1703</f>
        <v>0</v>
      </c>
      <c r="H1701" s="391">
        <f t="shared" ref="H1701:L1701" si="540">H1702+H1703</f>
        <v>0</v>
      </c>
      <c r="I1701" s="391">
        <f t="shared" si="540"/>
        <v>161</v>
      </c>
      <c r="J1701" s="391">
        <f t="shared" si="540"/>
        <v>161</v>
      </c>
      <c r="K1701" s="391">
        <f t="shared" si="540"/>
        <v>161</v>
      </c>
      <c r="L1701" s="391">
        <f t="shared" si="540"/>
        <v>161</v>
      </c>
      <c r="M1701" s="217"/>
      <c r="N1701" s="43"/>
      <c r="R1701" s="288"/>
      <c r="S1701" s="288"/>
      <c r="T1701" s="217"/>
      <c r="U1701" s="288"/>
      <c r="V1701" s="288"/>
      <c r="W1701" s="203"/>
      <c r="X1701" s="203"/>
    </row>
    <row r="1702" spans="1:24" ht="15" customHeight="1" x14ac:dyDescent="0.2">
      <c r="A1702" s="744" t="s">
        <v>529</v>
      </c>
      <c r="B1702" s="243" t="s">
        <v>182</v>
      </c>
      <c r="C1702" s="353" t="s">
        <v>605</v>
      </c>
      <c r="D1702" s="353" t="s">
        <v>607</v>
      </c>
      <c r="E1702" s="369">
        <v>9990055493</v>
      </c>
      <c r="F1702" s="369">
        <v>121</v>
      </c>
      <c r="G1702" s="288"/>
      <c r="H1702" s="288"/>
      <c r="I1702" s="288">
        <v>123.65591999999999</v>
      </c>
      <c r="J1702" s="288">
        <v>123.65591999999999</v>
      </c>
      <c r="K1702" s="43">
        <f t="shared" ref="K1702" si="541">I1702-G1702</f>
        <v>123.65591999999999</v>
      </c>
      <c r="L1702" s="43">
        <f t="shared" ref="L1702" si="542">J1702-H1702</f>
        <v>123.65591999999999</v>
      </c>
      <c r="M1702" s="217"/>
      <c r="N1702" s="43"/>
      <c r="R1702" s="288"/>
      <c r="S1702" s="288"/>
      <c r="T1702" s="217"/>
      <c r="U1702" s="288"/>
      <c r="V1702" s="288"/>
      <c r="W1702" s="203"/>
      <c r="X1702" s="203"/>
    </row>
    <row r="1703" spans="1:24" ht="15" customHeight="1" x14ac:dyDescent="0.2">
      <c r="A1703" s="739" t="s">
        <v>1578</v>
      </c>
      <c r="B1703" s="243" t="s">
        <v>182</v>
      </c>
      <c r="C1703" s="353" t="s">
        <v>605</v>
      </c>
      <c r="D1703" s="353" t="s">
        <v>607</v>
      </c>
      <c r="E1703" s="369">
        <v>9990055493</v>
      </c>
      <c r="F1703" s="369">
        <v>129</v>
      </c>
      <c r="G1703" s="288"/>
      <c r="H1703" s="288"/>
      <c r="I1703" s="288">
        <v>37.344079999999998</v>
      </c>
      <c r="J1703" s="288">
        <v>37.344079999999998</v>
      </c>
      <c r="K1703" s="43">
        <f t="shared" ref="K1703" si="543">I1703-G1703</f>
        <v>37.344079999999998</v>
      </c>
      <c r="L1703" s="43">
        <f t="shared" ref="L1703" si="544">J1703-H1703</f>
        <v>37.344079999999998</v>
      </c>
      <c r="M1703" s="217"/>
      <c r="N1703" s="43"/>
      <c r="R1703" s="288"/>
      <c r="S1703" s="288"/>
      <c r="T1703" s="217"/>
      <c r="U1703" s="288"/>
      <c r="V1703" s="288"/>
      <c r="W1703" s="203"/>
      <c r="X1703" s="203"/>
    </row>
    <row r="1704" spans="1:24" s="181" customFormat="1" ht="15" x14ac:dyDescent="0.2">
      <c r="A1704" s="746" t="s">
        <v>1753</v>
      </c>
      <c r="B1704" s="306" t="s">
        <v>182</v>
      </c>
      <c r="C1704" s="354" t="s">
        <v>605</v>
      </c>
      <c r="D1704" s="354" t="s">
        <v>28</v>
      </c>
      <c r="E1704" s="450"/>
      <c r="F1704" s="450"/>
      <c r="G1704" s="591">
        <f t="shared" ref="G1704:L1704" si="545">G1710+G1705</f>
        <v>1829.95</v>
      </c>
      <c r="H1704" s="591">
        <f t="shared" si="545"/>
        <v>0</v>
      </c>
      <c r="I1704" s="591">
        <f t="shared" si="545"/>
        <v>1885.35</v>
      </c>
      <c r="J1704" s="591">
        <f t="shared" si="545"/>
        <v>0</v>
      </c>
      <c r="K1704" s="591">
        <f t="shared" si="545"/>
        <v>55.400000000000034</v>
      </c>
      <c r="L1704" s="591">
        <f t="shared" si="545"/>
        <v>0</v>
      </c>
      <c r="M1704" s="217">
        <f t="shared" si="532"/>
        <v>-1.7053025658242404E-13</v>
      </c>
      <c r="N1704" s="170">
        <f>N1710</f>
        <v>44.092999999999996</v>
      </c>
      <c r="R1704" s="591">
        <f>R1710</f>
        <v>440.96499999999997</v>
      </c>
      <c r="S1704" s="591">
        <f>S1710</f>
        <v>0</v>
      </c>
      <c r="T1704" s="217">
        <f t="shared" ref="T1704:T1744" si="546">I1704-G1704</f>
        <v>55.399999999999864</v>
      </c>
      <c r="U1704" s="498">
        <f>U1710</f>
        <v>234.1</v>
      </c>
      <c r="V1704" s="498">
        <f>V1710</f>
        <v>0</v>
      </c>
      <c r="W1704" s="203">
        <f t="shared" si="524"/>
        <v>-55.399999999999864</v>
      </c>
      <c r="X1704" s="203">
        <f t="shared" si="525"/>
        <v>1.7053025658242404E-13</v>
      </c>
    </row>
    <row r="1705" spans="1:24" s="181" customFormat="1" ht="15" x14ac:dyDescent="0.2">
      <c r="A1705" s="746" t="s">
        <v>314</v>
      </c>
      <c r="B1705" s="306" t="s">
        <v>182</v>
      </c>
      <c r="C1705" s="354" t="s">
        <v>605</v>
      </c>
      <c r="D1705" s="354" t="s">
        <v>28</v>
      </c>
      <c r="E1705" s="691">
        <v>7100000000</v>
      </c>
      <c r="F1705" s="691"/>
      <c r="G1705" s="591">
        <f>G1706</f>
        <v>1500</v>
      </c>
      <c r="H1705" s="591">
        <f t="shared" ref="H1705:L1708" si="547">H1706</f>
        <v>0</v>
      </c>
      <c r="I1705" s="591">
        <f t="shared" si="547"/>
        <v>1500</v>
      </c>
      <c r="J1705" s="591">
        <f t="shared" si="547"/>
        <v>0</v>
      </c>
      <c r="K1705" s="591">
        <f t="shared" si="547"/>
        <v>0</v>
      </c>
      <c r="L1705" s="591">
        <f t="shared" si="547"/>
        <v>0</v>
      </c>
      <c r="M1705" s="217"/>
      <c r="N1705" s="170"/>
      <c r="R1705" s="591"/>
      <c r="S1705" s="591"/>
      <c r="T1705" s="217"/>
      <c r="U1705" s="591"/>
      <c r="V1705" s="591"/>
      <c r="W1705" s="203"/>
      <c r="X1705" s="203"/>
    </row>
    <row r="1706" spans="1:24" s="181" customFormat="1" ht="15" x14ac:dyDescent="0.2">
      <c r="A1706" s="746" t="s">
        <v>1742</v>
      </c>
      <c r="B1706" s="306" t="s">
        <v>182</v>
      </c>
      <c r="C1706" s="354" t="s">
        <v>605</v>
      </c>
      <c r="D1706" s="354" t="s">
        <v>28</v>
      </c>
      <c r="E1706" s="691">
        <v>7120000000</v>
      </c>
      <c r="F1706" s="691"/>
      <c r="G1706" s="591">
        <f>G1707</f>
        <v>1500</v>
      </c>
      <c r="H1706" s="591">
        <f t="shared" si="547"/>
        <v>0</v>
      </c>
      <c r="I1706" s="591">
        <f t="shared" si="547"/>
        <v>1500</v>
      </c>
      <c r="J1706" s="591">
        <f t="shared" si="547"/>
        <v>0</v>
      </c>
      <c r="K1706" s="591">
        <f t="shared" si="547"/>
        <v>0</v>
      </c>
      <c r="L1706" s="591">
        <f t="shared" si="547"/>
        <v>0</v>
      </c>
      <c r="M1706" s="217"/>
      <c r="N1706" s="170"/>
      <c r="R1706" s="591"/>
      <c r="S1706" s="591"/>
      <c r="T1706" s="217"/>
      <c r="U1706" s="591"/>
      <c r="V1706" s="591"/>
      <c r="W1706" s="203"/>
      <c r="X1706" s="203"/>
    </row>
    <row r="1707" spans="1:24" s="181" customFormat="1" ht="15" x14ac:dyDescent="0.2">
      <c r="A1707" s="746" t="s">
        <v>1741</v>
      </c>
      <c r="B1707" s="306" t="s">
        <v>182</v>
      </c>
      <c r="C1707" s="354" t="s">
        <v>605</v>
      </c>
      <c r="D1707" s="354" t="s">
        <v>28</v>
      </c>
      <c r="E1707" s="691">
        <v>7120200000</v>
      </c>
      <c r="F1707" s="691"/>
      <c r="G1707" s="591">
        <f>G1708</f>
        <v>1500</v>
      </c>
      <c r="H1707" s="591">
        <f t="shared" si="547"/>
        <v>0</v>
      </c>
      <c r="I1707" s="591">
        <f t="shared" si="547"/>
        <v>1500</v>
      </c>
      <c r="J1707" s="591">
        <f t="shared" si="547"/>
        <v>0</v>
      </c>
      <c r="K1707" s="591">
        <f t="shared" si="547"/>
        <v>0</v>
      </c>
      <c r="L1707" s="591">
        <f t="shared" si="547"/>
        <v>0</v>
      </c>
      <c r="M1707" s="217"/>
      <c r="N1707" s="170"/>
      <c r="R1707" s="591"/>
      <c r="S1707" s="591"/>
      <c r="T1707" s="217"/>
      <c r="U1707" s="591"/>
      <c r="V1707" s="591"/>
      <c r="W1707" s="203"/>
      <c r="X1707" s="203"/>
    </row>
    <row r="1708" spans="1:24" s="181" customFormat="1" ht="15" x14ac:dyDescent="0.2">
      <c r="A1708" s="746" t="s">
        <v>1740</v>
      </c>
      <c r="B1708" s="306" t="s">
        <v>182</v>
      </c>
      <c r="C1708" s="354" t="s">
        <v>605</v>
      </c>
      <c r="D1708" s="354" t="s">
        <v>28</v>
      </c>
      <c r="E1708" s="697" t="s">
        <v>584</v>
      </c>
      <c r="F1708" s="691"/>
      <c r="G1708" s="591">
        <f>G1709</f>
        <v>1500</v>
      </c>
      <c r="H1708" s="591">
        <f t="shared" si="547"/>
        <v>0</v>
      </c>
      <c r="I1708" s="591">
        <f t="shared" si="547"/>
        <v>1500</v>
      </c>
      <c r="J1708" s="591">
        <f t="shared" si="547"/>
        <v>0</v>
      </c>
      <c r="K1708" s="591">
        <f t="shared" si="547"/>
        <v>0</v>
      </c>
      <c r="L1708" s="591">
        <f t="shared" si="547"/>
        <v>0</v>
      </c>
      <c r="M1708" s="217"/>
      <c r="N1708" s="170"/>
      <c r="R1708" s="591"/>
      <c r="S1708" s="591"/>
      <c r="T1708" s="217"/>
      <c r="U1708" s="591"/>
      <c r="V1708" s="591"/>
      <c r="W1708" s="203"/>
      <c r="X1708" s="203"/>
    </row>
    <row r="1709" spans="1:24" s="181" customFormat="1" ht="15" x14ac:dyDescent="0.2">
      <c r="A1709" s="748" t="s">
        <v>1750</v>
      </c>
      <c r="B1709" s="692" t="s">
        <v>182</v>
      </c>
      <c r="C1709" s="693" t="s">
        <v>605</v>
      </c>
      <c r="D1709" s="693" t="s">
        <v>28</v>
      </c>
      <c r="E1709" s="698" t="s">
        <v>584</v>
      </c>
      <c r="F1709" s="695">
        <v>870</v>
      </c>
      <c r="G1709" s="696">
        <v>1500</v>
      </c>
      <c r="H1709" s="696"/>
      <c r="I1709" s="696">
        <v>1500</v>
      </c>
      <c r="J1709" s="696"/>
      <c r="K1709" s="43">
        <f>I1709-G1709</f>
        <v>0</v>
      </c>
      <c r="L1709" s="43">
        <f>J1709-H1709</f>
        <v>0</v>
      </c>
      <c r="M1709" s="217"/>
      <c r="N1709" s="170"/>
      <c r="R1709" s="591"/>
      <c r="S1709" s="591"/>
      <c r="T1709" s="217"/>
      <c r="U1709" s="591"/>
      <c r="V1709" s="591"/>
      <c r="W1709" s="203"/>
      <c r="X1709" s="203"/>
    </row>
    <row r="1710" spans="1:24" s="181" customFormat="1" ht="15" x14ac:dyDescent="0.2">
      <c r="A1710" s="746" t="s">
        <v>65</v>
      </c>
      <c r="B1710" s="306" t="s">
        <v>182</v>
      </c>
      <c r="C1710" s="354" t="s">
        <v>605</v>
      </c>
      <c r="D1710" s="354" t="s">
        <v>28</v>
      </c>
      <c r="E1710" s="450" t="s">
        <v>312</v>
      </c>
      <c r="F1710" s="450"/>
      <c r="G1710" s="591">
        <f>G1711+G1713+G1715</f>
        <v>329.95</v>
      </c>
      <c r="H1710" s="591">
        <f>H1711+H1713+H1715</f>
        <v>0</v>
      </c>
      <c r="I1710" s="591">
        <f>I1711+I1713+I1715</f>
        <v>385.35</v>
      </c>
      <c r="J1710" s="591">
        <f>J1711+J1713+J1715</f>
        <v>0</v>
      </c>
      <c r="K1710" s="591">
        <f t="shared" si="529"/>
        <v>55.400000000000034</v>
      </c>
      <c r="L1710" s="591">
        <f t="shared" si="530"/>
        <v>0</v>
      </c>
      <c r="M1710" s="217">
        <f t="shared" si="532"/>
        <v>0</v>
      </c>
      <c r="N1710" s="170">
        <f>N1711+N1713+N1715</f>
        <v>44.092999999999996</v>
      </c>
      <c r="R1710" s="591">
        <f>R1711+R1713+R1715</f>
        <v>440.96499999999997</v>
      </c>
      <c r="S1710" s="591">
        <f>S1711+S1713+S1715</f>
        <v>0</v>
      </c>
      <c r="T1710" s="217">
        <f t="shared" si="546"/>
        <v>55.400000000000034</v>
      </c>
      <c r="U1710" s="498">
        <f>U1711+U1713+U1715</f>
        <v>234.1</v>
      </c>
      <c r="V1710" s="498">
        <f>V1711+V1713+V1715</f>
        <v>0</v>
      </c>
      <c r="W1710" s="203">
        <f t="shared" si="524"/>
        <v>-55.400000000000034</v>
      </c>
      <c r="X1710" s="203">
        <f t="shared" si="525"/>
        <v>0</v>
      </c>
    </row>
    <row r="1711" spans="1:24" s="181" customFormat="1" ht="15" x14ac:dyDescent="0.2">
      <c r="A1711" s="746" t="s">
        <v>236</v>
      </c>
      <c r="B1711" s="306" t="s">
        <v>182</v>
      </c>
      <c r="C1711" s="354" t="s">
        <v>605</v>
      </c>
      <c r="D1711" s="354" t="s">
        <v>28</v>
      </c>
      <c r="E1711" s="450" t="s">
        <v>536</v>
      </c>
      <c r="F1711" s="450"/>
      <c r="G1711" s="591">
        <f>G1712</f>
        <v>279.95</v>
      </c>
      <c r="H1711" s="591">
        <f>H1712</f>
        <v>0</v>
      </c>
      <c r="I1711" s="591">
        <f>I1712</f>
        <v>335.35</v>
      </c>
      <c r="J1711" s="591">
        <f>J1712</f>
        <v>0</v>
      </c>
      <c r="K1711" s="591">
        <f t="shared" si="529"/>
        <v>55.400000000000034</v>
      </c>
      <c r="L1711" s="591">
        <f t="shared" si="530"/>
        <v>0</v>
      </c>
      <c r="M1711" s="217">
        <f t="shared" si="532"/>
        <v>0</v>
      </c>
      <c r="N1711" s="170">
        <f>N1712</f>
        <v>40.292999999999999</v>
      </c>
      <c r="R1711" s="591">
        <f>R1712</f>
        <v>421.65499999999997</v>
      </c>
      <c r="S1711" s="591">
        <f>S1712</f>
        <v>0</v>
      </c>
      <c r="T1711" s="217">
        <f t="shared" si="546"/>
        <v>55.400000000000034</v>
      </c>
      <c r="U1711" s="498">
        <f>U1712</f>
        <v>144.1</v>
      </c>
      <c r="V1711" s="498">
        <f>V1712</f>
        <v>0</v>
      </c>
      <c r="W1711" s="203">
        <f t="shared" si="524"/>
        <v>-55.400000000000034</v>
      </c>
      <c r="X1711" s="203">
        <f t="shared" si="525"/>
        <v>0</v>
      </c>
    </row>
    <row r="1712" spans="1:24" s="181" customFormat="1" ht="15" x14ac:dyDescent="0.2">
      <c r="A1712" s="744" t="s">
        <v>1750</v>
      </c>
      <c r="B1712" s="243" t="s">
        <v>182</v>
      </c>
      <c r="C1712" s="353" t="s">
        <v>605</v>
      </c>
      <c r="D1712" s="353" t="s">
        <v>28</v>
      </c>
      <c r="E1712" s="369" t="s">
        <v>536</v>
      </c>
      <c r="F1712" s="369" t="s">
        <v>130</v>
      </c>
      <c r="G1712" s="288">
        <v>279.95</v>
      </c>
      <c r="H1712" s="288"/>
      <c r="I1712" s="288">
        <v>335.35</v>
      </c>
      <c r="J1712" s="288"/>
      <c r="K1712" s="43">
        <f t="shared" si="529"/>
        <v>55.400000000000034</v>
      </c>
      <c r="L1712" s="43">
        <f t="shared" si="530"/>
        <v>0</v>
      </c>
      <c r="M1712" s="217">
        <f t="shared" si="532"/>
        <v>0</v>
      </c>
      <c r="N1712" s="171">
        <v>40.292999999999999</v>
      </c>
      <c r="R1712" s="288">
        <v>421.65499999999997</v>
      </c>
      <c r="S1712" s="288"/>
      <c r="T1712" s="217">
        <f t="shared" si="546"/>
        <v>55.400000000000034</v>
      </c>
      <c r="U1712" s="288">
        <v>144.1</v>
      </c>
      <c r="V1712" s="288">
        <v>0</v>
      </c>
      <c r="W1712" s="203">
        <f t="shared" si="524"/>
        <v>-55.400000000000034</v>
      </c>
      <c r="X1712" s="203">
        <f t="shared" si="525"/>
        <v>0</v>
      </c>
    </row>
    <row r="1713" spans="1:24" s="181" customFormat="1" ht="25.5" x14ac:dyDescent="0.2">
      <c r="A1713" s="746" t="s">
        <v>1752</v>
      </c>
      <c r="B1713" s="306" t="s">
        <v>182</v>
      </c>
      <c r="C1713" s="354" t="s">
        <v>605</v>
      </c>
      <c r="D1713" s="354" t="s">
        <v>28</v>
      </c>
      <c r="E1713" s="450" t="s">
        <v>582</v>
      </c>
      <c r="F1713" s="450"/>
      <c r="G1713" s="591">
        <f>G1714</f>
        <v>50</v>
      </c>
      <c r="H1713" s="591">
        <f>H1714</f>
        <v>0</v>
      </c>
      <c r="I1713" s="591">
        <f>I1714</f>
        <v>50</v>
      </c>
      <c r="J1713" s="591">
        <f>J1714</f>
        <v>0</v>
      </c>
      <c r="K1713" s="591">
        <f t="shared" si="529"/>
        <v>0</v>
      </c>
      <c r="L1713" s="591">
        <f t="shared" si="530"/>
        <v>0</v>
      </c>
      <c r="M1713" s="217">
        <f t="shared" si="532"/>
        <v>0</v>
      </c>
      <c r="N1713" s="170">
        <f>N1714</f>
        <v>3.8</v>
      </c>
      <c r="R1713" s="591">
        <f>R1714</f>
        <v>0</v>
      </c>
      <c r="S1713" s="591">
        <f>S1714</f>
        <v>0</v>
      </c>
      <c r="T1713" s="217">
        <f t="shared" si="546"/>
        <v>0</v>
      </c>
      <c r="U1713" s="498">
        <f>U1714</f>
        <v>40</v>
      </c>
      <c r="V1713" s="498">
        <f>V1714</f>
        <v>0</v>
      </c>
      <c r="W1713" s="203">
        <f t="shared" si="524"/>
        <v>0</v>
      </c>
      <c r="X1713" s="203">
        <f t="shared" si="525"/>
        <v>0</v>
      </c>
    </row>
    <row r="1714" spans="1:24" s="181" customFormat="1" ht="15" x14ac:dyDescent="0.2">
      <c r="A1714" s="744" t="s">
        <v>1750</v>
      </c>
      <c r="B1714" s="243" t="s">
        <v>182</v>
      </c>
      <c r="C1714" s="353" t="s">
        <v>605</v>
      </c>
      <c r="D1714" s="353" t="s">
        <v>28</v>
      </c>
      <c r="E1714" s="369" t="s">
        <v>582</v>
      </c>
      <c r="F1714" s="369" t="s">
        <v>130</v>
      </c>
      <c r="G1714" s="288">
        <v>50</v>
      </c>
      <c r="H1714" s="288"/>
      <c r="I1714" s="288">
        <v>50</v>
      </c>
      <c r="J1714" s="288"/>
      <c r="K1714" s="43">
        <f t="shared" si="529"/>
        <v>0</v>
      </c>
      <c r="L1714" s="43">
        <f t="shared" si="530"/>
        <v>0</v>
      </c>
      <c r="M1714" s="217">
        <f t="shared" si="532"/>
        <v>0</v>
      </c>
      <c r="N1714" s="171">
        <v>3.8</v>
      </c>
      <c r="R1714" s="288">
        <v>0</v>
      </c>
      <c r="S1714" s="288"/>
      <c r="T1714" s="217">
        <f t="shared" si="546"/>
        <v>0</v>
      </c>
      <c r="U1714" s="288">
        <v>40</v>
      </c>
      <c r="V1714" s="288">
        <v>0</v>
      </c>
      <c r="W1714" s="203">
        <f t="shared" si="524"/>
        <v>0</v>
      </c>
      <c r="X1714" s="203">
        <f t="shared" si="525"/>
        <v>0</v>
      </c>
    </row>
    <row r="1715" spans="1:24" s="181" customFormat="1" ht="15" hidden="1" x14ac:dyDescent="0.2">
      <c r="A1715" s="626" t="s">
        <v>1751</v>
      </c>
      <c r="B1715" s="306" t="s">
        <v>182</v>
      </c>
      <c r="C1715" s="354" t="s">
        <v>605</v>
      </c>
      <c r="D1715" s="354" t="s">
        <v>28</v>
      </c>
      <c r="E1715" s="450" t="s">
        <v>537</v>
      </c>
      <c r="F1715" s="450"/>
      <c r="G1715" s="498">
        <f>G1716</f>
        <v>0</v>
      </c>
      <c r="H1715" s="498">
        <f>H1716</f>
        <v>0</v>
      </c>
      <c r="I1715" s="591">
        <f>I1716</f>
        <v>0</v>
      </c>
      <c r="J1715" s="591">
        <f>J1716</f>
        <v>0</v>
      </c>
      <c r="K1715" s="591">
        <f t="shared" si="529"/>
        <v>0</v>
      </c>
      <c r="L1715" s="591">
        <f t="shared" si="530"/>
        <v>0</v>
      </c>
      <c r="M1715" s="217">
        <f t="shared" si="532"/>
        <v>0</v>
      </c>
      <c r="N1715" s="170">
        <f>N1716</f>
        <v>0</v>
      </c>
      <c r="R1715" s="591">
        <f>R1716</f>
        <v>19.309999999999999</v>
      </c>
      <c r="S1715" s="591">
        <f>S1716</f>
        <v>0</v>
      </c>
      <c r="T1715" s="217">
        <f t="shared" si="546"/>
        <v>0</v>
      </c>
      <c r="U1715" s="498">
        <f>U1716</f>
        <v>50</v>
      </c>
      <c r="V1715" s="498">
        <f>V1716</f>
        <v>0</v>
      </c>
      <c r="W1715" s="203">
        <f t="shared" si="524"/>
        <v>0</v>
      </c>
      <c r="X1715" s="203">
        <f t="shared" si="525"/>
        <v>0</v>
      </c>
    </row>
    <row r="1716" spans="1:24" s="181" customFormat="1" ht="15" hidden="1" x14ac:dyDescent="0.2">
      <c r="A1716" s="186" t="s">
        <v>1750</v>
      </c>
      <c r="B1716" s="243" t="s">
        <v>182</v>
      </c>
      <c r="C1716" s="353" t="s">
        <v>605</v>
      </c>
      <c r="D1716" s="353" t="s">
        <v>28</v>
      </c>
      <c r="E1716" s="369" t="s">
        <v>537</v>
      </c>
      <c r="F1716" s="369" t="s">
        <v>130</v>
      </c>
      <c r="G1716" s="288">
        <v>0</v>
      </c>
      <c r="H1716" s="288"/>
      <c r="I1716" s="288">
        <v>0</v>
      </c>
      <c r="J1716" s="288"/>
      <c r="K1716" s="43">
        <f t="shared" si="529"/>
        <v>0</v>
      </c>
      <c r="L1716" s="43">
        <f t="shared" si="530"/>
        <v>0</v>
      </c>
      <c r="M1716" s="217">
        <f t="shared" si="532"/>
        <v>0</v>
      </c>
      <c r="N1716" s="171">
        <v>0</v>
      </c>
      <c r="R1716" s="288">
        <v>19.309999999999999</v>
      </c>
      <c r="S1716" s="288"/>
      <c r="T1716" s="217">
        <f t="shared" si="546"/>
        <v>0</v>
      </c>
      <c r="U1716" s="288">
        <v>50</v>
      </c>
      <c r="V1716" s="288">
        <v>0</v>
      </c>
      <c r="W1716" s="203">
        <f t="shared" si="524"/>
        <v>0</v>
      </c>
      <c r="X1716" s="203">
        <f t="shared" si="525"/>
        <v>0</v>
      </c>
    </row>
    <row r="1717" spans="1:24" s="181" customFormat="1" ht="15" x14ac:dyDescent="0.2">
      <c r="A1717" s="746" t="s">
        <v>459</v>
      </c>
      <c r="B1717" s="306" t="s">
        <v>182</v>
      </c>
      <c r="C1717" s="354" t="s">
        <v>620</v>
      </c>
      <c r="D1717" s="354"/>
      <c r="E1717" s="450"/>
      <c r="F1717" s="450"/>
      <c r="G1717" s="591">
        <f t="shared" ref="G1717:J1722" si="548">G1718</f>
        <v>12.985889999999999</v>
      </c>
      <c r="H1717" s="591">
        <f t="shared" si="548"/>
        <v>0</v>
      </c>
      <c r="I1717" s="591">
        <f t="shared" si="548"/>
        <v>12.985889999999999</v>
      </c>
      <c r="J1717" s="591">
        <f t="shared" si="548"/>
        <v>0</v>
      </c>
      <c r="K1717" s="591">
        <f t="shared" si="529"/>
        <v>0</v>
      </c>
      <c r="L1717" s="591">
        <f t="shared" si="530"/>
        <v>0</v>
      </c>
      <c r="M1717" s="217">
        <f t="shared" si="532"/>
        <v>0</v>
      </c>
      <c r="N1717" s="170">
        <f t="shared" ref="N1717:N1722" si="549">N1718</f>
        <v>21.5</v>
      </c>
      <c r="R1717" s="591">
        <f t="shared" ref="R1717:S1722" si="550">R1718</f>
        <v>28.452059999999999</v>
      </c>
      <c r="S1717" s="591">
        <f t="shared" si="550"/>
        <v>0</v>
      </c>
      <c r="T1717" s="217">
        <f t="shared" si="546"/>
        <v>0</v>
      </c>
      <c r="U1717" s="498">
        <f t="shared" ref="U1717:V1722" si="551">U1718</f>
        <v>26.971779999999999</v>
      </c>
      <c r="V1717" s="498">
        <f t="shared" si="551"/>
        <v>0</v>
      </c>
      <c r="W1717" s="203">
        <f t="shared" si="524"/>
        <v>0</v>
      </c>
      <c r="X1717" s="203">
        <f t="shared" si="525"/>
        <v>0</v>
      </c>
    </row>
    <row r="1718" spans="1:24" s="181" customFormat="1" ht="15" x14ac:dyDescent="0.2">
      <c r="A1718" s="746" t="s">
        <v>1745</v>
      </c>
      <c r="B1718" s="306" t="s">
        <v>182</v>
      </c>
      <c r="C1718" s="354" t="s">
        <v>620</v>
      </c>
      <c r="D1718" s="354" t="s">
        <v>605</v>
      </c>
      <c r="E1718" s="450"/>
      <c r="F1718" s="450"/>
      <c r="G1718" s="591">
        <f t="shared" si="548"/>
        <v>12.985889999999999</v>
      </c>
      <c r="H1718" s="591">
        <f t="shared" si="548"/>
        <v>0</v>
      </c>
      <c r="I1718" s="591">
        <f t="shared" si="548"/>
        <v>12.985889999999999</v>
      </c>
      <c r="J1718" s="591">
        <f t="shared" si="548"/>
        <v>0</v>
      </c>
      <c r="K1718" s="591">
        <f t="shared" si="529"/>
        <v>0</v>
      </c>
      <c r="L1718" s="591">
        <f t="shared" si="530"/>
        <v>0</v>
      </c>
      <c r="M1718" s="217">
        <f t="shared" si="532"/>
        <v>0</v>
      </c>
      <c r="N1718" s="170">
        <f t="shared" si="549"/>
        <v>21.5</v>
      </c>
      <c r="R1718" s="591">
        <f t="shared" si="550"/>
        <v>28.452059999999999</v>
      </c>
      <c r="S1718" s="591">
        <f t="shared" si="550"/>
        <v>0</v>
      </c>
      <c r="T1718" s="217">
        <f t="shared" si="546"/>
        <v>0</v>
      </c>
      <c r="U1718" s="498">
        <f t="shared" si="551"/>
        <v>26.971779999999999</v>
      </c>
      <c r="V1718" s="498">
        <f t="shared" si="551"/>
        <v>0</v>
      </c>
      <c r="W1718" s="203">
        <f t="shared" si="524"/>
        <v>0</v>
      </c>
      <c r="X1718" s="203">
        <f t="shared" si="525"/>
        <v>0</v>
      </c>
    </row>
    <row r="1719" spans="1:24" s="181" customFormat="1" ht="15" x14ac:dyDescent="0.2">
      <c r="A1719" s="746" t="s">
        <v>314</v>
      </c>
      <c r="B1719" s="306" t="s">
        <v>182</v>
      </c>
      <c r="C1719" s="354" t="s">
        <v>620</v>
      </c>
      <c r="D1719" s="354" t="s">
        <v>605</v>
      </c>
      <c r="E1719" s="450" t="s">
        <v>310</v>
      </c>
      <c r="F1719" s="450"/>
      <c r="G1719" s="591">
        <f t="shared" si="548"/>
        <v>12.985889999999999</v>
      </c>
      <c r="H1719" s="591">
        <f t="shared" si="548"/>
        <v>0</v>
      </c>
      <c r="I1719" s="591">
        <f t="shared" si="548"/>
        <v>12.985889999999999</v>
      </c>
      <c r="J1719" s="591">
        <f t="shared" si="548"/>
        <v>0</v>
      </c>
      <c r="K1719" s="591">
        <f t="shared" si="529"/>
        <v>0</v>
      </c>
      <c r="L1719" s="591">
        <f t="shared" si="530"/>
        <v>0</v>
      </c>
      <c r="M1719" s="217">
        <f t="shared" si="532"/>
        <v>0</v>
      </c>
      <c r="N1719" s="170">
        <f t="shared" si="549"/>
        <v>21.5</v>
      </c>
      <c r="R1719" s="591">
        <f t="shared" si="550"/>
        <v>28.452059999999999</v>
      </c>
      <c r="S1719" s="591">
        <f t="shared" si="550"/>
        <v>0</v>
      </c>
      <c r="T1719" s="217">
        <f t="shared" si="546"/>
        <v>0</v>
      </c>
      <c r="U1719" s="498">
        <f t="shared" si="551"/>
        <v>26.971779999999999</v>
      </c>
      <c r="V1719" s="498">
        <f t="shared" si="551"/>
        <v>0</v>
      </c>
      <c r="W1719" s="203">
        <f t="shared" si="524"/>
        <v>0</v>
      </c>
      <c r="X1719" s="203">
        <f t="shared" si="525"/>
        <v>0</v>
      </c>
    </row>
    <row r="1720" spans="1:24" s="181" customFormat="1" ht="15" x14ac:dyDescent="0.2">
      <c r="A1720" s="746" t="s">
        <v>1746</v>
      </c>
      <c r="B1720" s="306" t="s">
        <v>182</v>
      </c>
      <c r="C1720" s="354" t="s">
        <v>620</v>
      </c>
      <c r="D1720" s="354" t="s">
        <v>605</v>
      </c>
      <c r="E1720" s="450" t="s">
        <v>307</v>
      </c>
      <c r="F1720" s="450"/>
      <c r="G1720" s="591">
        <f t="shared" si="548"/>
        <v>12.985889999999999</v>
      </c>
      <c r="H1720" s="591">
        <f t="shared" si="548"/>
        <v>0</v>
      </c>
      <c r="I1720" s="591">
        <f t="shared" si="548"/>
        <v>12.985889999999999</v>
      </c>
      <c r="J1720" s="591">
        <f t="shared" si="548"/>
        <v>0</v>
      </c>
      <c r="K1720" s="591">
        <f t="shared" si="529"/>
        <v>0</v>
      </c>
      <c r="L1720" s="591">
        <f t="shared" si="530"/>
        <v>0</v>
      </c>
      <c r="M1720" s="217">
        <f t="shared" si="532"/>
        <v>0</v>
      </c>
      <c r="N1720" s="170">
        <f t="shared" si="549"/>
        <v>21.5</v>
      </c>
      <c r="R1720" s="591">
        <f t="shared" si="550"/>
        <v>28.452059999999999</v>
      </c>
      <c r="S1720" s="591">
        <f t="shared" si="550"/>
        <v>0</v>
      </c>
      <c r="T1720" s="217">
        <f t="shared" si="546"/>
        <v>0</v>
      </c>
      <c r="U1720" s="498">
        <f t="shared" si="551"/>
        <v>26.971779999999999</v>
      </c>
      <c r="V1720" s="498">
        <f t="shared" si="551"/>
        <v>0</v>
      </c>
      <c r="W1720" s="203">
        <f t="shared" si="524"/>
        <v>0</v>
      </c>
      <c r="X1720" s="203">
        <f t="shared" si="525"/>
        <v>0</v>
      </c>
    </row>
    <row r="1721" spans="1:24" s="181" customFormat="1" ht="15" x14ac:dyDescent="0.2">
      <c r="A1721" s="746" t="s">
        <v>1747</v>
      </c>
      <c r="B1721" s="306" t="s">
        <v>182</v>
      </c>
      <c r="C1721" s="354" t="s">
        <v>620</v>
      </c>
      <c r="D1721" s="354" t="s">
        <v>605</v>
      </c>
      <c r="E1721" s="450" t="s">
        <v>308</v>
      </c>
      <c r="F1721" s="450"/>
      <c r="G1721" s="591">
        <f t="shared" si="548"/>
        <v>12.985889999999999</v>
      </c>
      <c r="H1721" s="591">
        <f t="shared" si="548"/>
        <v>0</v>
      </c>
      <c r="I1721" s="591">
        <f t="shared" si="548"/>
        <v>12.985889999999999</v>
      </c>
      <c r="J1721" s="591">
        <f t="shared" si="548"/>
        <v>0</v>
      </c>
      <c r="K1721" s="591">
        <f t="shared" si="529"/>
        <v>0</v>
      </c>
      <c r="L1721" s="591">
        <f t="shared" si="530"/>
        <v>0</v>
      </c>
      <c r="M1721" s="217">
        <f t="shared" si="532"/>
        <v>0</v>
      </c>
      <c r="N1721" s="170">
        <f t="shared" si="549"/>
        <v>21.5</v>
      </c>
      <c r="R1721" s="591">
        <f t="shared" si="550"/>
        <v>28.452059999999999</v>
      </c>
      <c r="S1721" s="591">
        <f t="shared" si="550"/>
        <v>0</v>
      </c>
      <c r="T1721" s="217">
        <f t="shared" si="546"/>
        <v>0</v>
      </c>
      <c r="U1721" s="498">
        <f t="shared" si="551"/>
        <v>26.971779999999999</v>
      </c>
      <c r="V1721" s="498">
        <f t="shared" si="551"/>
        <v>0</v>
      </c>
      <c r="W1721" s="203">
        <f t="shared" si="524"/>
        <v>0</v>
      </c>
      <c r="X1721" s="203">
        <f t="shared" si="525"/>
        <v>0</v>
      </c>
    </row>
    <row r="1722" spans="1:24" s="181" customFormat="1" ht="15" x14ac:dyDescent="0.2">
      <c r="A1722" s="746" t="s">
        <v>1748</v>
      </c>
      <c r="B1722" s="306" t="s">
        <v>182</v>
      </c>
      <c r="C1722" s="354" t="s">
        <v>620</v>
      </c>
      <c r="D1722" s="354" t="s">
        <v>605</v>
      </c>
      <c r="E1722" s="450" t="s">
        <v>583</v>
      </c>
      <c r="F1722" s="450"/>
      <c r="G1722" s="591">
        <f t="shared" si="548"/>
        <v>12.985889999999999</v>
      </c>
      <c r="H1722" s="591">
        <f t="shared" si="548"/>
        <v>0</v>
      </c>
      <c r="I1722" s="591">
        <f t="shared" si="548"/>
        <v>12.985889999999999</v>
      </c>
      <c r="J1722" s="591">
        <f t="shared" si="548"/>
        <v>0</v>
      </c>
      <c r="K1722" s="591">
        <f t="shared" ref="K1722:K1791" si="552">I1722-G1722</f>
        <v>0</v>
      </c>
      <c r="L1722" s="591">
        <f t="shared" ref="L1722:L1791" si="553">J1722-H1722</f>
        <v>0</v>
      </c>
      <c r="M1722" s="217">
        <f t="shared" si="532"/>
        <v>0</v>
      </c>
      <c r="N1722" s="170">
        <f t="shared" si="549"/>
        <v>21.5</v>
      </c>
      <c r="R1722" s="591">
        <f t="shared" si="550"/>
        <v>28.452059999999999</v>
      </c>
      <c r="S1722" s="591">
        <f t="shared" si="550"/>
        <v>0</v>
      </c>
      <c r="T1722" s="217">
        <f t="shared" si="546"/>
        <v>0</v>
      </c>
      <c r="U1722" s="498">
        <f t="shared" si="551"/>
        <v>26.971779999999999</v>
      </c>
      <c r="V1722" s="498">
        <f t="shared" si="551"/>
        <v>0</v>
      </c>
      <c r="W1722" s="203">
        <f t="shared" si="524"/>
        <v>0</v>
      </c>
      <c r="X1722" s="203">
        <f t="shared" si="525"/>
        <v>0</v>
      </c>
    </row>
    <row r="1723" spans="1:24" s="181" customFormat="1" ht="15" x14ac:dyDescent="0.2">
      <c r="A1723" s="744" t="s">
        <v>1749</v>
      </c>
      <c r="B1723" s="243" t="s">
        <v>182</v>
      </c>
      <c r="C1723" s="353" t="s">
        <v>620</v>
      </c>
      <c r="D1723" s="353" t="s">
        <v>605</v>
      </c>
      <c r="E1723" s="369" t="s">
        <v>583</v>
      </c>
      <c r="F1723" s="369" t="s">
        <v>131</v>
      </c>
      <c r="G1723" s="288">
        <v>12.985889999999999</v>
      </c>
      <c r="H1723" s="288"/>
      <c r="I1723" s="288">
        <v>12.985889999999999</v>
      </c>
      <c r="J1723" s="288"/>
      <c r="K1723" s="43">
        <f t="shared" si="552"/>
        <v>0</v>
      </c>
      <c r="L1723" s="43">
        <f t="shared" si="553"/>
        <v>0</v>
      </c>
      <c r="M1723" s="217">
        <f t="shared" si="532"/>
        <v>0</v>
      </c>
      <c r="N1723" s="171">
        <f>14.3+7.2</f>
        <v>21.5</v>
      </c>
      <c r="R1723" s="288">
        <v>28.452059999999999</v>
      </c>
      <c r="S1723" s="288"/>
      <c r="T1723" s="217">
        <f t="shared" si="546"/>
        <v>0</v>
      </c>
      <c r="U1723" s="288">
        <v>26.971779999999999</v>
      </c>
      <c r="V1723" s="288">
        <v>0</v>
      </c>
      <c r="W1723" s="203">
        <f t="shared" si="524"/>
        <v>0</v>
      </c>
      <c r="X1723" s="203">
        <f t="shared" si="525"/>
        <v>0</v>
      </c>
    </row>
    <row r="1724" spans="1:24" s="176" customFormat="1" ht="15" x14ac:dyDescent="0.2">
      <c r="A1724" s="746" t="s">
        <v>1087</v>
      </c>
      <c r="B1724" s="306" t="s">
        <v>182</v>
      </c>
      <c r="C1724" s="354" t="s">
        <v>621</v>
      </c>
      <c r="D1724" s="354"/>
      <c r="E1724" s="450"/>
      <c r="F1724" s="450"/>
      <c r="G1724" s="591">
        <f>G1725+G1737+G1731</f>
        <v>64206.080999999998</v>
      </c>
      <c r="H1724" s="591">
        <f>H1725+H1737+H1731</f>
        <v>0</v>
      </c>
      <c r="I1724" s="591">
        <f>I1725+I1737+I1731</f>
        <v>72297.280999999988</v>
      </c>
      <c r="J1724" s="591">
        <f>J1725+J1737+J1731</f>
        <v>329</v>
      </c>
      <c r="K1724" s="591">
        <f t="shared" si="552"/>
        <v>8091.1999999999898</v>
      </c>
      <c r="L1724" s="591">
        <f t="shared" si="553"/>
        <v>329</v>
      </c>
      <c r="M1724" s="217">
        <f t="shared" si="532"/>
        <v>0</v>
      </c>
      <c r="N1724" s="170">
        <f>N1725+N1737+N1731</f>
        <v>47674.7</v>
      </c>
      <c r="R1724" s="591">
        <f>R1725+R1737+R1731</f>
        <v>51656.124410000004</v>
      </c>
      <c r="S1724" s="591">
        <f>S1725+S1737+S1731</f>
        <v>0</v>
      </c>
      <c r="T1724" s="217">
        <f t="shared" si="546"/>
        <v>8091.1999999999898</v>
      </c>
      <c r="U1724" s="498">
        <f>U1725+U1737+U1731</f>
        <v>46193.214</v>
      </c>
      <c r="V1724" s="498">
        <f>V1725+V1737+V1731</f>
        <v>0</v>
      </c>
      <c r="W1724" s="203">
        <f t="shared" si="524"/>
        <v>-8091.1999999999898</v>
      </c>
      <c r="X1724" s="203">
        <f t="shared" si="525"/>
        <v>0</v>
      </c>
    </row>
    <row r="1725" spans="1:24" s="176" customFormat="1" ht="15" x14ac:dyDescent="0.2">
      <c r="A1725" s="746" t="s">
        <v>184</v>
      </c>
      <c r="B1725" s="306" t="s">
        <v>182</v>
      </c>
      <c r="C1725" s="354" t="s">
        <v>621</v>
      </c>
      <c r="D1725" s="354" t="s">
        <v>605</v>
      </c>
      <c r="E1725" s="450"/>
      <c r="F1725" s="450"/>
      <c r="G1725" s="591">
        <f t="shared" ref="G1725:J1726" si="554">G1726</f>
        <v>77.400000000000006</v>
      </c>
      <c r="H1725" s="591">
        <f t="shared" si="554"/>
        <v>0</v>
      </c>
      <c r="I1725" s="591">
        <f t="shared" si="554"/>
        <v>77.400000000000006</v>
      </c>
      <c r="J1725" s="591">
        <f t="shared" si="554"/>
        <v>0</v>
      </c>
      <c r="K1725" s="591">
        <f t="shared" si="552"/>
        <v>0</v>
      </c>
      <c r="L1725" s="591">
        <f t="shared" si="553"/>
        <v>0</v>
      </c>
      <c r="M1725" s="217">
        <f t="shared" si="532"/>
        <v>0</v>
      </c>
      <c r="N1725" s="170">
        <f>N1726</f>
        <v>54.8</v>
      </c>
      <c r="R1725" s="591">
        <f t="shared" ref="R1725:S1729" si="555">R1726</f>
        <v>69.890410000000003</v>
      </c>
      <c r="S1725" s="591">
        <f t="shared" si="555"/>
        <v>0</v>
      </c>
      <c r="T1725" s="217">
        <f t="shared" si="546"/>
        <v>0</v>
      </c>
      <c r="U1725" s="498">
        <f t="shared" ref="U1725:V1729" si="556">U1726</f>
        <v>66.7</v>
      </c>
      <c r="V1725" s="498">
        <f t="shared" si="556"/>
        <v>0</v>
      </c>
      <c r="W1725" s="203">
        <f t="shared" si="524"/>
        <v>0</v>
      </c>
      <c r="X1725" s="203">
        <f t="shared" si="525"/>
        <v>0</v>
      </c>
    </row>
    <row r="1726" spans="1:24" s="176" customFormat="1" ht="15" x14ac:dyDescent="0.2">
      <c r="A1726" s="746" t="s">
        <v>314</v>
      </c>
      <c r="B1726" s="306" t="s">
        <v>182</v>
      </c>
      <c r="C1726" s="354" t="s">
        <v>621</v>
      </c>
      <c r="D1726" s="354" t="s">
        <v>605</v>
      </c>
      <c r="E1726" s="450" t="s">
        <v>310</v>
      </c>
      <c r="F1726" s="450"/>
      <c r="G1726" s="591">
        <f t="shared" si="554"/>
        <v>77.400000000000006</v>
      </c>
      <c r="H1726" s="591">
        <f t="shared" si="554"/>
        <v>0</v>
      </c>
      <c r="I1726" s="591">
        <f t="shared" si="554"/>
        <v>77.400000000000006</v>
      </c>
      <c r="J1726" s="591">
        <f t="shared" si="554"/>
        <v>0</v>
      </c>
      <c r="K1726" s="591">
        <f t="shared" si="552"/>
        <v>0</v>
      </c>
      <c r="L1726" s="591">
        <f t="shared" si="553"/>
        <v>0</v>
      </c>
      <c r="M1726" s="217">
        <f t="shared" si="532"/>
        <v>0</v>
      </c>
      <c r="N1726" s="170">
        <f>N1727</f>
        <v>54.8</v>
      </c>
      <c r="R1726" s="591">
        <f t="shared" si="555"/>
        <v>69.890410000000003</v>
      </c>
      <c r="S1726" s="591">
        <f t="shared" si="555"/>
        <v>0</v>
      </c>
      <c r="T1726" s="217">
        <f t="shared" si="546"/>
        <v>0</v>
      </c>
      <c r="U1726" s="498">
        <f t="shared" si="556"/>
        <v>66.7</v>
      </c>
      <c r="V1726" s="498">
        <f t="shared" si="556"/>
        <v>0</v>
      </c>
      <c r="W1726" s="203">
        <f t="shared" si="524"/>
        <v>0</v>
      </c>
      <c r="X1726" s="203">
        <f t="shared" si="525"/>
        <v>0</v>
      </c>
    </row>
    <row r="1727" spans="1:24" s="176" customFormat="1" ht="15" x14ac:dyDescent="0.2">
      <c r="A1727" s="746" t="s">
        <v>1742</v>
      </c>
      <c r="B1727" s="306" t="s">
        <v>182</v>
      </c>
      <c r="C1727" s="354" t="s">
        <v>621</v>
      </c>
      <c r="D1727" s="354" t="s">
        <v>605</v>
      </c>
      <c r="E1727" s="450" t="s">
        <v>316</v>
      </c>
      <c r="F1727" s="450"/>
      <c r="G1727" s="591">
        <f t="shared" ref="G1727:J1729" si="557">G1728</f>
        <v>77.400000000000006</v>
      </c>
      <c r="H1727" s="591">
        <f t="shared" si="557"/>
        <v>0</v>
      </c>
      <c r="I1727" s="591">
        <f t="shared" si="557"/>
        <v>77.400000000000006</v>
      </c>
      <c r="J1727" s="591">
        <f t="shared" si="557"/>
        <v>0</v>
      </c>
      <c r="K1727" s="591">
        <f t="shared" si="552"/>
        <v>0</v>
      </c>
      <c r="L1727" s="591">
        <f t="shared" si="553"/>
        <v>0</v>
      </c>
      <c r="M1727" s="217">
        <f t="shared" si="532"/>
        <v>0</v>
      </c>
      <c r="N1727" s="170">
        <f>N1728</f>
        <v>54.8</v>
      </c>
      <c r="R1727" s="591">
        <f t="shared" si="555"/>
        <v>69.890410000000003</v>
      </c>
      <c r="S1727" s="591">
        <f t="shared" si="555"/>
        <v>0</v>
      </c>
      <c r="T1727" s="217">
        <f t="shared" si="546"/>
        <v>0</v>
      </c>
      <c r="U1727" s="498">
        <f t="shared" si="556"/>
        <v>66.7</v>
      </c>
      <c r="V1727" s="498">
        <f t="shared" si="556"/>
        <v>0</v>
      </c>
      <c r="W1727" s="203">
        <f t="shared" si="524"/>
        <v>0</v>
      </c>
      <c r="X1727" s="203">
        <f t="shared" si="525"/>
        <v>0</v>
      </c>
    </row>
    <row r="1728" spans="1:24" s="176" customFormat="1" ht="15" x14ac:dyDescent="0.2">
      <c r="A1728" s="746" t="s">
        <v>1741</v>
      </c>
      <c r="B1728" s="306" t="s">
        <v>182</v>
      </c>
      <c r="C1728" s="354" t="s">
        <v>621</v>
      </c>
      <c r="D1728" s="354" t="s">
        <v>605</v>
      </c>
      <c r="E1728" s="450" t="s">
        <v>315</v>
      </c>
      <c r="F1728" s="450"/>
      <c r="G1728" s="591">
        <f t="shared" si="557"/>
        <v>77.400000000000006</v>
      </c>
      <c r="H1728" s="591">
        <f t="shared" si="557"/>
        <v>0</v>
      </c>
      <c r="I1728" s="591">
        <f t="shared" si="557"/>
        <v>77.400000000000006</v>
      </c>
      <c r="J1728" s="591">
        <f t="shared" si="557"/>
        <v>0</v>
      </c>
      <c r="K1728" s="591">
        <f t="shared" si="552"/>
        <v>0</v>
      </c>
      <c r="L1728" s="591">
        <f t="shared" si="553"/>
        <v>0</v>
      </c>
      <c r="M1728" s="217">
        <f t="shared" si="532"/>
        <v>0</v>
      </c>
      <c r="N1728" s="170">
        <f>N1729</f>
        <v>54.8</v>
      </c>
      <c r="R1728" s="591">
        <f t="shared" si="555"/>
        <v>69.890410000000003</v>
      </c>
      <c r="S1728" s="591">
        <f t="shared" si="555"/>
        <v>0</v>
      </c>
      <c r="T1728" s="217">
        <f t="shared" si="546"/>
        <v>0</v>
      </c>
      <c r="U1728" s="498">
        <f t="shared" si="556"/>
        <v>66.7</v>
      </c>
      <c r="V1728" s="498">
        <f t="shared" si="556"/>
        <v>0</v>
      </c>
      <c r="W1728" s="203">
        <f t="shared" si="524"/>
        <v>0</v>
      </c>
      <c r="X1728" s="203">
        <f t="shared" si="525"/>
        <v>0</v>
      </c>
    </row>
    <row r="1729" spans="1:24" s="176" customFormat="1" ht="15" x14ac:dyDescent="0.2">
      <c r="A1729" s="746" t="s">
        <v>1743</v>
      </c>
      <c r="B1729" s="306" t="s">
        <v>182</v>
      </c>
      <c r="C1729" s="354" t="s">
        <v>621</v>
      </c>
      <c r="D1729" s="354" t="s">
        <v>605</v>
      </c>
      <c r="E1729" s="450" t="s">
        <v>317</v>
      </c>
      <c r="F1729" s="450"/>
      <c r="G1729" s="591">
        <f t="shared" si="557"/>
        <v>77.400000000000006</v>
      </c>
      <c r="H1729" s="591">
        <f t="shared" si="557"/>
        <v>0</v>
      </c>
      <c r="I1729" s="591">
        <f t="shared" si="557"/>
        <v>77.400000000000006</v>
      </c>
      <c r="J1729" s="591">
        <f t="shared" si="557"/>
        <v>0</v>
      </c>
      <c r="K1729" s="591">
        <f t="shared" si="552"/>
        <v>0</v>
      </c>
      <c r="L1729" s="591">
        <f t="shared" si="553"/>
        <v>0</v>
      </c>
      <c r="M1729" s="217">
        <f t="shared" si="532"/>
        <v>0</v>
      </c>
      <c r="N1729" s="170">
        <f>N1730</f>
        <v>54.8</v>
      </c>
      <c r="R1729" s="591">
        <f t="shared" si="555"/>
        <v>69.890410000000003</v>
      </c>
      <c r="S1729" s="591">
        <f t="shared" si="555"/>
        <v>0</v>
      </c>
      <c r="T1729" s="217">
        <f t="shared" si="546"/>
        <v>0</v>
      </c>
      <c r="U1729" s="498">
        <f t="shared" si="556"/>
        <v>66.7</v>
      </c>
      <c r="V1729" s="498">
        <f t="shared" si="556"/>
        <v>0</v>
      </c>
      <c r="W1729" s="203">
        <f t="shared" ref="W1729:W1822" si="558">G1729-I1729</f>
        <v>0</v>
      </c>
      <c r="X1729" s="203">
        <f t="shared" ref="X1729:X1822" si="559">K1729+W1729</f>
        <v>0</v>
      </c>
    </row>
    <row r="1730" spans="1:24" s="176" customFormat="1" ht="15" x14ac:dyDescent="0.2">
      <c r="A1730" s="744" t="s">
        <v>1744</v>
      </c>
      <c r="B1730" s="243" t="s">
        <v>182</v>
      </c>
      <c r="C1730" s="353" t="s">
        <v>621</v>
      </c>
      <c r="D1730" s="353" t="s">
        <v>605</v>
      </c>
      <c r="E1730" s="369">
        <v>7120273090</v>
      </c>
      <c r="F1730" s="369" t="s">
        <v>63</v>
      </c>
      <c r="G1730" s="265">
        <v>77.400000000000006</v>
      </c>
      <c r="H1730" s="288"/>
      <c r="I1730" s="265">
        <v>77.400000000000006</v>
      </c>
      <c r="J1730" s="288"/>
      <c r="K1730" s="43">
        <f t="shared" si="552"/>
        <v>0</v>
      </c>
      <c r="L1730" s="43">
        <f t="shared" si="553"/>
        <v>0</v>
      </c>
      <c r="M1730" s="217">
        <f t="shared" si="532"/>
        <v>0</v>
      </c>
      <c r="N1730" s="171">
        <v>54.8</v>
      </c>
      <c r="R1730" s="265">
        <v>69.890410000000003</v>
      </c>
      <c r="S1730" s="288"/>
      <c r="T1730" s="217">
        <f t="shared" si="546"/>
        <v>0</v>
      </c>
      <c r="U1730" s="288">
        <v>66.7</v>
      </c>
      <c r="V1730" s="288">
        <v>0</v>
      </c>
      <c r="W1730" s="203">
        <f t="shared" si="558"/>
        <v>0</v>
      </c>
      <c r="X1730" s="203">
        <f t="shared" si="559"/>
        <v>0</v>
      </c>
    </row>
    <row r="1731" spans="1:24" s="176" customFormat="1" ht="15" hidden="1" x14ac:dyDescent="0.2">
      <c r="A1731" s="451" t="s">
        <v>1543</v>
      </c>
      <c r="B1731" s="306" t="s">
        <v>182</v>
      </c>
      <c r="C1731" s="354" t="s">
        <v>621</v>
      </c>
      <c r="D1731" s="354" t="s">
        <v>614</v>
      </c>
      <c r="E1731" s="450"/>
      <c r="F1731" s="450"/>
      <c r="G1731" s="498">
        <f t="shared" ref="G1731:J1735" si="560">G1732</f>
        <v>0</v>
      </c>
      <c r="H1731" s="498">
        <f t="shared" si="560"/>
        <v>0</v>
      </c>
      <c r="I1731" s="591">
        <f t="shared" si="560"/>
        <v>0</v>
      </c>
      <c r="J1731" s="591">
        <f t="shared" si="560"/>
        <v>0</v>
      </c>
      <c r="K1731" s="591">
        <f t="shared" si="552"/>
        <v>0</v>
      </c>
      <c r="L1731" s="591">
        <f t="shared" si="553"/>
        <v>0</v>
      </c>
      <c r="M1731" s="217">
        <f t="shared" si="532"/>
        <v>0</v>
      </c>
      <c r="N1731" s="170">
        <f>N1732</f>
        <v>0</v>
      </c>
      <c r="R1731" s="591">
        <f t="shared" ref="R1731:S1735" si="561">R1732</f>
        <v>0</v>
      </c>
      <c r="S1731" s="591">
        <f t="shared" si="561"/>
        <v>0</v>
      </c>
      <c r="T1731" s="217">
        <f t="shared" si="546"/>
        <v>0</v>
      </c>
      <c r="U1731" s="498">
        <f t="shared" ref="U1731:V1735" si="562">U1732</f>
        <v>0</v>
      </c>
      <c r="V1731" s="498">
        <f t="shared" si="562"/>
        <v>0</v>
      </c>
      <c r="W1731" s="203">
        <f t="shared" si="558"/>
        <v>0</v>
      </c>
      <c r="X1731" s="203">
        <f t="shared" si="559"/>
        <v>0</v>
      </c>
    </row>
    <row r="1732" spans="1:24" s="176" customFormat="1" ht="26.25" hidden="1" customHeight="1" x14ac:dyDescent="0.2">
      <c r="A1732" s="451" t="s">
        <v>1543</v>
      </c>
      <c r="B1732" s="306" t="s">
        <v>182</v>
      </c>
      <c r="C1732" s="354" t="s">
        <v>621</v>
      </c>
      <c r="D1732" s="354" t="s">
        <v>614</v>
      </c>
      <c r="E1732" s="450" t="s">
        <v>310</v>
      </c>
      <c r="F1732" s="450"/>
      <c r="G1732" s="498">
        <f t="shared" si="560"/>
        <v>0</v>
      </c>
      <c r="H1732" s="498">
        <f t="shared" si="560"/>
        <v>0</v>
      </c>
      <c r="I1732" s="591">
        <f t="shared" si="560"/>
        <v>0</v>
      </c>
      <c r="J1732" s="591">
        <f t="shared" si="560"/>
        <v>0</v>
      </c>
      <c r="K1732" s="591">
        <f t="shared" si="552"/>
        <v>0</v>
      </c>
      <c r="L1732" s="591">
        <f t="shared" si="553"/>
        <v>0</v>
      </c>
      <c r="M1732" s="217">
        <f t="shared" si="532"/>
        <v>0</v>
      </c>
      <c r="N1732" s="170">
        <f>N1733</f>
        <v>0</v>
      </c>
      <c r="R1732" s="591">
        <f t="shared" si="561"/>
        <v>0</v>
      </c>
      <c r="S1732" s="591">
        <f t="shared" si="561"/>
        <v>0</v>
      </c>
      <c r="T1732" s="217">
        <f t="shared" si="546"/>
        <v>0</v>
      </c>
      <c r="U1732" s="498">
        <f t="shared" si="562"/>
        <v>0</v>
      </c>
      <c r="V1732" s="498">
        <f t="shared" si="562"/>
        <v>0</v>
      </c>
      <c r="W1732" s="203">
        <f t="shared" si="558"/>
        <v>0</v>
      </c>
      <c r="X1732" s="203">
        <f t="shared" si="559"/>
        <v>0</v>
      </c>
    </row>
    <row r="1733" spans="1:24" s="176" customFormat="1" ht="12" hidden="1" customHeight="1" x14ac:dyDescent="0.2">
      <c r="A1733" s="451" t="s">
        <v>1543</v>
      </c>
      <c r="B1733" s="306" t="s">
        <v>182</v>
      </c>
      <c r="C1733" s="354" t="s">
        <v>621</v>
      </c>
      <c r="D1733" s="354" t="s">
        <v>614</v>
      </c>
      <c r="E1733" s="450" t="s">
        <v>316</v>
      </c>
      <c r="F1733" s="450"/>
      <c r="G1733" s="498">
        <f t="shared" si="560"/>
        <v>0</v>
      </c>
      <c r="H1733" s="498">
        <f t="shared" si="560"/>
        <v>0</v>
      </c>
      <c r="I1733" s="591">
        <f t="shared" si="560"/>
        <v>0</v>
      </c>
      <c r="J1733" s="591">
        <f t="shared" si="560"/>
        <v>0</v>
      </c>
      <c r="K1733" s="591">
        <f t="shared" si="552"/>
        <v>0</v>
      </c>
      <c r="L1733" s="591">
        <f t="shared" si="553"/>
        <v>0</v>
      </c>
      <c r="M1733" s="217">
        <f t="shared" si="532"/>
        <v>0</v>
      </c>
      <c r="N1733" s="170">
        <f>N1734</f>
        <v>0</v>
      </c>
      <c r="R1733" s="591">
        <f t="shared" si="561"/>
        <v>0</v>
      </c>
      <c r="S1733" s="591">
        <f t="shared" si="561"/>
        <v>0</v>
      </c>
      <c r="T1733" s="217">
        <f t="shared" si="546"/>
        <v>0</v>
      </c>
      <c r="U1733" s="498">
        <f t="shared" si="562"/>
        <v>0</v>
      </c>
      <c r="V1733" s="498">
        <f t="shared" si="562"/>
        <v>0</v>
      </c>
      <c r="W1733" s="203">
        <f t="shared" si="558"/>
        <v>0</v>
      </c>
      <c r="X1733" s="203">
        <f t="shared" si="559"/>
        <v>0</v>
      </c>
    </row>
    <row r="1734" spans="1:24" s="176" customFormat="1" ht="24" hidden="1" customHeight="1" x14ac:dyDescent="0.2">
      <c r="A1734" s="451" t="s">
        <v>1543</v>
      </c>
      <c r="B1734" s="306" t="s">
        <v>182</v>
      </c>
      <c r="C1734" s="354" t="s">
        <v>621</v>
      </c>
      <c r="D1734" s="354" t="s">
        <v>614</v>
      </c>
      <c r="E1734" s="450" t="s">
        <v>315</v>
      </c>
      <c r="F1734" s="450"/>
      <c r="G1734" s="498">
        <f t="shared" si="560"/>
        <v>0</v>
      </c>
      <c r="H1734" s="498">
        <f t="shared" si="560"/>
        <v>0</v>
      </c>
      <c r="I1734" s="591">
        <f t="shared" si="560"/>
        <v>0</v>
      </c>
      <c r="J1734" s="591">
        <f t="shared" si="560"/>
        <v>0</v>
      </c>
      <c r="K1734" s="591">
        <f t="shared" si="552"/>
        <v>0</v>
      </c>
      <c r="L1734" s="591">
        <f t="shared" si="553"/>
        <v>0</v>
      </c>
      <c r="M1734" s="217">
        <f t="shared" si="532"/>
        <v>0</v>
      </c>
      <c r="N1734" s="170">
        <f>N1735</f>
        <v>0</v>
      </c>
      <c r="R1734" s="591">
        <f t="shared" si="561"/>
        <v>0</v>
      </c>
      <c r="S1734" s="591">
        <f t="shared" si="561"/>
        <v>0</v>
      </c>
      <c r="T1734" s="217">
        <f t="shared" si="546"/>
        <v>0</v>
      </c>
      <c r="U1734" s="498">
        <f t="shared" si="562"/>
        <v>0</v>
      </c>
      <c r="V1734" s="498">
        <f t="shared" si="562"/>
        <v>0</v>
      </c>
      <c r="W1734" s="203">
        <f t="shared" si="558"/>
        <v>0</v>
      </c>
      <c r="X1734" s="203">
        <f t="shared" si="559"/>
        <v>0</v>
      </c>
    </row>
    <row r="1735" spans="1:24" s="176" customFormat="1" ht="12" hidden="1" customHeight="1" x14ac:dyDescent="0.2">
      <c r="A1735" s="451" t="s">
        <v>1543</v>
      </c>
      <c r="B1735" s="306" t="s">
        <v>182</v>
      </c>
      <c r="C1735" s="354" t="s">
        <v>621</v>
      </c>
      <c r="D1735" s="354" t="s">
        <v>614</v>
      </c>
      <c r="E1735" s="450" t="s">
        <v>317</v>
      </c>
      <c r="F1735" s="450"/>
      <c r="G1735" s="498">
        <f t="shared" si="560"/>
        <v>0</v>
      </c>
      <c r="H1735" s="498">
        <f t="shared" si="560"/>
        <v>0</v>
      </c>
      <c r="I1735" s="591">
        <f t="shared" si="560"/>
        <v>0</v>
      </c>
      <c r="J1735" s="591">
        <f t="shared" si="560"/>
        <v>0</v>
      </c>
      <c r="K1735" s="591">
        <f t="shared" si="552"/>
        <v>0</v>
      </c>
      <c r="L1735" s="591">
        <f t="shared" si="553"/>
        <v>0</v>
      </c>
      <c r="M1735" s="217">
        <f t="shared" si="532"/>
        <v>0</v>
      </c>
      <c r="N1735" s="170">
        <f>N1736</f>
        <v>0</v>
      </c>
      <c r="R1735" s="591">
        <f t="shared" si="561"/>
        <v>0</v>
      </c>
      <c r="S1735" s="591">
        <f t="shared" si="561"/>
        <v>0</v>
      </c>
      <c r="T1735" s="217">
        <f t="shared" si="546"/>
        <v>0</v>
      </c>
      <c r="U1735" s="498">
        <f t="shared" si="562"/>
        <v>0</v>
      </c>
      <c r="V1735" s="498">
        <f t="shared" si="562"/>
        <v>0</v>
      </c>
      <c r="W1735" s="203">
        <f t="shared" si="558"/>
        <v>0</v>
      </c>
      <c r="X1735" s="203">
        <f t="shared" si="559"/>
        <v>0</v>
      </c>
    </row>
    <row r="1736" spans="1:24" s="176" customFormat="1" ht="16.5" hidden="1" customHeight="1" x14ac:dyDescent="0.2">
      <c r="A1736" s="124" t="s">
        <v>1543</v>
      </c>
      <c r="B1736" s="243" t="s">
        <v>182</v>
      </c>
      <c r="C1736" s="353" t="s">
        <v>621</v>
      </c>
      <c r="D1736" s="353" t="s">
        <v>614</v>
      </c>
      <c r="E1736" s="369" t="s">
        <v>317</v>
      </c>
      <c r="F1736" s="369" t="s">
        <v>63</v>
      </c>
      <c r="G1736" s="288">
        <v>0</v>
      </c>
      <c r="H1736" s="288"/>
      <c r="I1736" s="288">
        <v>0</v>
      </c>
      <c r="J1736" s="288"/>
      <c r="K1736" s="43">
        <f t="shared" si="552"/>
        <v>0</v>
      </c>
      <c r="L1736" s="43">
        <f t="shared" si="553"/>
        <v>0</v>
      </c>
      <c r="M1736" s="217">
        <f t="shared" si="532"/>
        <v>0</v>
      </c>
      <c r="N1736" s="171">
        <v>0</v>
      </c>
      <c r="R1736" s="288">
        <v>0</v>
      </c>
      <c r="S1736" s="288"/>
      <c r="T1736" s="217">
        <f t="shared" si="546"/>
        <v>0</v>
      </c>
      <c r="U1736" s="288">
        <v>0</v>
      </c>
      <c r="V1736" s="288"/>
      <c r="W1736" s="203">
        <f t="shared" si="558"/>
        <v>0</v>
      </c>
      <c r="X1736" s="203">
        <f t="shared" si="559"/>
        <v>0</v>
      </c>
    </row>
    <row r="1737" spans="1:24" s="176" customFormat="1" ht="15" x14ac:dyDescent="0.2">
      <c r="A1737" s="746" t="s">
        <v>11</v>
      </c>
      <c r="B1737" s="306" t="s">
        <v>182</v>
      </c>
      <c r="C1737" s="354" t="s">
        <v>621</v>
      </c>
      <c r="D1737" s="354" t="s">
        <v>606</v>
      </c>
      <c r="E1737" s="450"/>
      <c r="F1737" s="450"/>
      <c r="G1737" s="591">
        <f>G1738+G1764</f>
        <v>64128.680999999997</v>
      </c>
      <c r="H1737" s="591">
        <f>H1738+H1764</f>
        <v>0</v>
      </c>
      <c r="I1737" s="591">
        <f>I1738+I1764</f>
        <v>72219.880999999994</v>
      </c>
      <c r="J1737" s="591">
        <f>J1738+J1764</f>
        <v>329</v>
      </c>
      <c r="K1737" s="591">
        <f t="shared" si="552"/>
        <v>8091.1999999999971</v>
      </c>
      <c r="L1737" s="591">
        <f t="shared" si="553"/>
        <v>329</v>
      </c>
      <c r="M1737" s="217">
        <f t="shared" si="532"/>
        <v>0</v>
      </c>
      <c r="N1737" s="170">
        <f>N1738</f>
        <v>47619.899999999994</v>
      </c>
      <c r="R1737" s="591">
        <f>R1738+R1764</f>
        <v>51586.234000000004</v>
      </c>
      <c r="S1737" s="591">
        <f>S1738+S1764</f>
        <v>0</v>
      </c>
      <c r="T1737" s="217">
        <f t="shared" si="546"/>
        <v>8091.1999999999971</v>
      </c>
      <c r="U1737" s="498">
        <f>U1738+U1764</f>
        <v>46126.514000000003</v>
      </c>
      <c r="V1737" s="498">
        <f>V1738+V1764</f>
        <v>0</v>
      </c>
      <c r="W1737" s="203">
        <f t="shared" si="558"/>
        <v>-8091.1999999999971</v>
      </c>
      <c r="X1737" s="203">
        <f t="shared" si="559"/>
        <v>0</v>
      </c>
    </row>
    <row r="1738" spans="1:24" s="176" customFormat="1" ht="15" x14ac:dyDescent="0.2">
      <c r="A1738" s="746" t="s">
        <v>314</v>
      </c>
      <c r="B1738" s="306" t="s">
        <v>182</v>
      </c>
      <c r="C1738" s="354" t="s">
        <v>621</v>
      </c>
      <c r="D1738" s="354" t="s">
        <v>606</v>
      </c>
      <c r="E1738" s="450" t="s">
        <v>310</v>
      </c>
      <c r="F1738" s="450"/>
      <c r="G1738" s="591">
        <f t="shared" ref="G1738:J1739" si="563">G1739</f>
        <v>64128.680999999997</v>
      </c>
      <c r="H1738" s="591">
        <f t="shared" si="563"/>
        <v>0</v>
      </c>
      <c r="I1738" s="591">
        <f t="shared" si="563"/>
        <v>71890.880999999994</v>
      </c>
      <c r="J1738" s="591">
        <f t="shared" si="563"/>
        <v>0</v>
      </c>
      <c r="K1738" s="591">
        <f t="shared" si="552"/>
        <v>7762.1999999999971</v>
      </c>
      <c r="L1738" s="591">
        <f t="shared" si="553"/>
        <v>0</v>
      </c>
      <c r="M1738" s="217">
        <f t="shared" si="532"/>
        <v>0</v>
      </c>
      <c r="N1738" s="170">
        <f>N1739</f>
        <v>47619.899999999994</v>
      </c>
      <c r="R1738" s="591">
        <f>R1739</f>
        <v>51586.234000000004</v>
      </c>
      <c r="S1738" s="591">
        <f>S1739</f>
        <v>0</v>
      </c>
      <c r="T1738" s="217">
        <f t="shared" si="546"/>
        <v>7762.1999999999971</v>
      </c>
      <c r="U1738" s="498">
        <f>U1739</f>
        <v>46126.514000000003</v>
      </c>
      <c r="V1738" s="498">
        <f>V1739</f>
        <v>0</v>
      </c>
      <c r="W1738" s="203">
        <f t="shared" si="558"/>
        <v>-7762.1999999999971</v>
      </c>
      <c r="X1738" s="203">
        <f t="shared" si="559"/>
        <v>0</v>
      </c>
    </row>
    <row r="1739" spans="1:24" s="176" customFormat="1" ht="15" x14ac:dyDescent="0.2">
      <c r="A1739" s="746" t="s">
        <v>1742</v>
      </c>
      <c r="B1739" s="306" t="s">
        <v>182</v>
      </c>
      <c r="C1739" s="354" t="s">
        <v>621</v>
      </c>
      <c r="D1739" s="354" t="s">
        <v>606</v>
      </c>
      <c r="E1739" s="450" t="s">
        <v>316</v>
      </c>
      <c r="F1739" s="450"/>
      <c r="G1739" s="591">
        <f t="shared" si="563"/>
        <v>64128.680999999997</v>
      </c>
      <c r="H1739" s="591">
        <f t="shared" si="563"/>
        <v>0</v>
      </c>
      <c r="I1739" s="591">
        <f t="shared" si="563"/>
        <v>71890.880999999994</v>
      </c>
      <c r="J1739" s="591">
        <f t="shared" si="563"/>
        <v>0</v>
      </c>
      <c r="K1739" s="591">
        <f t="shared" si="552"/>
        <v>7762.1999999999971</v>
      </c>
      <c r="L1739" s="591">
        <f t="shared" si="553"/>
        <v>0</v>
      </c>
      <c r="M1739" s="217">
        <f t="shared" si="532"/>
        <v>0</v>
      </c>
      <c r="N1739" s="170">
        <f>N1740</f>
        <v>47619.899999999994</v>
      </c>
      <c r="R1739" s="591">
        <f>R1740</f>
        <v>51586.234000000004</v>
      </c>
      <c r="S1739" s="591">
        <f>S1740</f>
        <v>0</v>
      </c>
      <c r="T1739" s="217">
        <f t="shared" si="546"/>
        <v>7762.1999999999971</v>
      </c>
      <c r="U1739" s="498">
        <f>U1740</f>
        <v>46126.514000000003</v>
      </c>
      <c r="V1739" s="498">
        <f>V1740</f>
        <v>0</v>
      </c>
      <c r="W1739" s="203">
        <f t="shared" si="558"/>
        <v>-7762.1999999999971</v>
      </c>
      <c r="X1739" s="203">
        <f t="shared" si="559"/>
        <v>0</v>
      </c>
    </row>
    <row r="1740" spans="1:24" s="176" customFormat="1" ht="22.5" customHeight="1" x14ac:dyDescent="0.2">
      <c r="A1740" s="746" t="s">
        <v>1741</v>
      </c>
      <c r="B1740" s="306" t="s">
        <v>182</v>
      </c>
      <c r="C1740" s="354" t="s">
        <v>621</v>
      </c>
      <c r="D1740" s="354" t="s">
        <v>606</v>
      </c>
      <c r="E1740" s="450" t="s">
        <v>315</v>
      </c>
      <c r="F1740" s="450"/>
      <c r="G1740" s="591">
        <f>G1741+G1755+G1758+G1760+G1747+G1762+G1743+G1745+G1753+G1749+G1751</f>
        <v>64128.680999999997</v>
      </c>
      <c r="H1740" s="591">
        <f>H1741+H1755+H1758+H1760+H1747+H1762+H1743+H1745+H1753+H1749+H1751</f>
        <v>0</v>
      </c>
      <c r="I1740" s="591">
        <f>I1741+I1755+I1758+I1760+I1747+I1762+I1743+I1745+I1753+I1749+I1751</f>
        <v>71890.880999999994</v>
      </c>
      <c r="J1740" s="591">
        <f>J1741+J1755+J1758+J1760+J1747+J1762+J1743+J1745+J1753+J1749+J1751</f>
        <v>0</v>
      </c>
      <c r="K1740" s="591">
        <f t="shared" si="552"/>
        <v>7762.1999999999971</v>
      </c>
      <c r="L1740" s="591">
        <f t="shared" si="553"/>
        <v>0</v>
      </c>
      <c r="M1740" s="217">
        <f t="shared" si="532"/>
        <v>0</v>
      </c>
      <c r="N1740" s="170">
        <f>N1741+N1755+N1758+N1760</f>
        <v>47619.899999999994</v>
      </c>
      <c r="R1740" s="591">
        <f>R1741+R1755+R1758+R1760+R1747+R1762+R1743+R1745+R1753+R1749+R1751</f>
        <v>51586.234000000004</v>
      </c>
      <c r="S1740" s="591">
        <f>S1741+S1755+S1758+S1760+S1747+S1762+S1743+S1745+S1753+S1749+S1751</f>
        <v>0</v>
      </c>
      <c r="T1740" s="217">
        <f t="shared" si="546"/>
        <v>7762.1999999999971</v>
      </c>
      <c r="U1740" s="498">
        <f>U1741+U1755+U1758+U1760+U1747+U1762+U1743+U1745+U1753+U1749+U1751</f>
        <v>46126.514000000003</v>
      </c>
      <c r="V1740" s="498">
        <f>V1741+V1755+V1758+V1760+V1747+V1762+V1743+V1745+V1753+V1749+V1751</f>
        <v>0</v>
      </c>
      <c r="W1740" s="203">
        <f t="shared" si="558"/>
        <v>-7762.1999999999971</v>
      </c>
      <c r="X1740" s="203">
        <f t="shared" si="559"/>
        <v>0</v>
      </c>
    </row>
    <row r="1741" spans="1:24" s="176" customFormat="1" ht="17.25" hidden="1" customHeight="1" x14ac:dyDescent="0.2">
      <c r="A1741" s="451" t="s">
        <v>1597</v>
      </c>
      <c r="B1741" s="306" t="s">
        <v>182</v>
      </c>
      <c r="C1741" s="354" t="s">
        <v>621</v>
      </c>
      <c r="D1741" s="354" t="s">
        <v>606</v>
      </c>
      <c r="E1741" s="450">
        <v>7120271060</v>
      </c>
      <c r="F1741" s="450"/>
      <c r="G1741" s="498">
        <f>G1742</f>
        <v>0</v>
      </c>
      <c r="H1741" s="498">
        <f>H1742</f>
        <v>0</v>
      </c>
      <c r="I1741" s="591">
        <f>I1742</f>
        <v>0</v>
      </c>
      <c r="J1741" s="591">
        <f>J1742</f>
        <v>0</v>
      </c>
      <c r="K1741" s="591">
        <f t="shared" si="552"/>
        <v>0</v>
      </c>
      <c r="L1741" s="591">
        <f t="shared" si="553"/>
        <v>0</v>
      </c>
      <c r="M1741" s="217">
        <f t="shared" si="532"/>
        <v>0</v>
      </c>
      <c r="N1741" s="170">
        <f>N1742</f>
        <v>17049.2</v>
      </c>
      <c r="R1741" s="591">
        <f>R1742</f>
        <v>0</v>
      </c>
      <c r="S1741" s="591">
        <f>S1742</f>
        <v>0</v>
      </c>
      <c r="T1741" s="217">
        <f t="shared" si="546"/>
        <v>0</v>
      </c>
      <c r="U1741" s="498">
        <f>U1742</f>
        <v>0</v>
      </c>
      <c r="V1741" s="498">
        <f>V1742</f>
        <v>0</v>
      </c>
      <c r="W1741" s="203">
        <f t="shared" si="558"/>
        <v>0</v>
      </c>
      <c r="X1741" s="203">
        <f t="shared" si="559"/>
        <v>0</v>
      </c>
    </row>
    <row r="1742" spans="1:24" s="176" customFormat="1" ht="14.25" hidden="1" customHeight="1" x14ac:dyDescent="0.2">
      <c r="A1742" s="124" t="s">
        <v>1584</v>
      </c>
      <c r="B1742" s="243" t="s">
        <v>182</v>
      </c>
      <c r="C1742" s="353" t="s">
        <v>621</v>
      </c>
      <c r="D1742" s="353" t="s">
        <v>606</v>
      </c>
      <c r="E1742" s="369">
        <v>7120271060</v>
      </c>
      <c r="F1742" s="369" t="s">
        <v>132</v>
      </c>
      <c r="G1742" s="288"/>
      <c r="H1742" s="288"/>
      <c r="I1742" s="288"/>
      <c r="J1742" s="288"/>
      <c r="K1742" s="43">
        <f t="shared" si="552"/>
        <v>0</v>
      </c>
      <c r="L1742" s="43">
        <f t="shared" si="553"/>
        <v>0</v>
      </c>
      <c r="M1742" s="217">
        <f t="shared" si="532"/>
        <v>0</v>
      </c>
      <c r="N1742" s="171">
        <v>17049.2</v>
      </c>
      <c r="R1742" s="288"/>
      <c r="S1742" s="288"/>
      <c r="T1742" s="217">
        <f t="shared" si="546"/>
        <v>0</v>
      </c>
      <c r="U1742" s="288"/>
      <c r="V1742" s="288"/>
      <c r="W1742" s="203">
        <f t="shared" si="558"/>
        <v>0</v>
      </c>
      <c r="X1742" s="203">
        <f t="shared" si="559"/>
        <v>0</v>
      </c>
    </row>
    <row r="1743" spans="1:24" s="176" customFormat="1" ht="15" hidden="1" x14ac:dyDescent="0.2">
      <c r="A1743" s="451" t="s">
        <v>1597</v>
      </c>
      <c r="B1743" s="306" t="s">
        <v>182</v>
      </c>
      <c r="C1743" s="354" t="s">
        <v>621</v>
      </c>
      <c r="D1743" s="354" t="s">
        <v>606</v>
      </c>
      <c r="E1743" s="450" t="s">
        <v>1198</v>
      </c>
      <c r="F1743" s="450"/>
      <c r="G1743" s="498">
        <f>G1744</f>
        <v>0</v>
      </c>
      <c r="H1743" s="498">
        <f>H1744</f>
        <v>0</v>
      </c>
      <c r="I1743" s="591">
        <f>I1744</f>
        <v>0</v>
      </c>
      <c r="J1743" s="591">
        <f>J1744</f>
        <v>0</v>
      </c>
      <c r="K1743" s="591">
        <f t="shared" si="552"/>
        <v>0</v>
      </c>
      <c r="L1743" s="591">
        <f t="shared" si="553"/>
        <v>0</v>
      </c>
      <c r="M1743" s="217">
        <f t="shared" ref="M1743:M1858" si="564">I1743-G1743-K1743</f>
        <v>0</v>
      </c>
      <c r="N1743" s="171"/>
      <c r="R1743" s="591">
        <f>R1744</f>
        <v>3196.9</v>
      </c>
      <c r="S1743" s="591">
        <f>S1744</f>
        <v>0</v>
      </c>
      <c r="T1743" s="217">
        <f t="shared" si="546"/>
        <v>0</v>
      </c>
      <c r="U1743" s="498">
        <f>U1744</f>
        <v>1199.0139999999999</v>
      </c>
      <c r="V1743" s="498">
        <f>V1744</f>
        <v>0</v>
      </c>
      <c r="W1743" s="203">
        <f t="shared" si="558"/>
        <v>0</v>
      </c>
      <c r="X1743" s="203">
        <f t="shared" si="559"/>
        <v>0</v>
      </c>
    </row>
    <row r="1744" spans="1:24" s="176" customFormat="1" ht="24" hidden="1" customHeight="1" x14ac:dyDescent="0.2">
      <c r="A1744" s="124" t="s">
        <v>1584</v>
      </c>
      <c r="B1744" s="243" t="s">
        <v>182</v>
      </c>
      <c r="C1744" s="353" t="s">
        <v>621</v>
      </c>
      <c r="D1744" s="353" t="s">
        <v>606</v>
      </c>
      <c r="E1744" s="369" t="s">
        <v>1198</v>
      </c>
      <c r="F1744" s="369" t="s">
        <v>132</v>
      </c>
      <c r="G1744" s="288"/>
      <c r="H1744" s="288"/>
      <c r="I1744" s="288"/>
      <c r="J1744" s="288"/>
      <c r="K1744" s="130">
        <f t="shared" si="552"/>
        <v>0</v>
      </c>
      <c r="L1744" s="130">
        <f t="shared" si="553"/>
        <v>0</v>
      </c>
      <c r="M1744" s="217">
        <f t="shared" si="564"/>
        <v>0</v>
      </c>
      <c r="N1744" s="171"/>
      <c r="R1744" s="288">
        <v>3196.9</v>
      </c>
      <c r="S1744" s="288"/>
      <c r="T1744" s="217">
        <f t="shared" si="546"/>
        <v>0</v>
      </c>
      <c r="U1744" s="288">
        <v>1199.0139999999999</v>
      </c>
      <c r="V1744" s="288">
        <v>0</v>
      </c>
      <c r="W1744" s="203">
        <f t="shared" si="558"/>
        <v>0</v>
      </c>
      <c r="X1744" s="203">
        <f t="shared" si="559"/>
        <v>0</v>
      </c>
    </row>
    <row r="1745" spans="1:24" s="176" customFormat="1" ht="24.75" hidden="1" customHeight="1" x14ac:dyDescent="0.2">
      <c r="A1745" s="451" t="s">
        <v>1543</v>
      </c>
      <c r="B1745" s="306" t="s">
        <v>182</v>
      </c>
      <c r="C1745" s="354" t="s">
        <v>621</v>
      </c>
      <c r="D1745" s="354" t="s">
        <v>606</v>
      </c>
      <c r="E1745" s="450" t="s">
        <v>855</v>
      </c>
      <c r="F1745" s="450"/>
      <c r="G1745" s="498">
        <f>G1746</f>
        <v>0</v>
      </c>
      <c r="H1745" s="498">
        <f>H1746</f>
        <v>0</v>
      </c>
      <c r="I1745" s="591">
        <f>I1746</f>
        <v>0</v>
      </c>
      <c r="J1745" s="591">
        <f>J1746</f>
        <v>0</v>
      </c>
      <c r="K1745" s="591">
        <f t="shared" si="552"/>
        <v>0</v>
      </c>
      <c r="L1745" s="591">
        <f t="shared" si="553"/>
        <v>0</v>
      </c>
      <c r="M1745" s="217">
        <f t="shared" si="564"/>
        <v>0</v>
      </c>
      <c r="N1745" s="171"/>
      <c r="R1745" s="591">
        <f>R1746</f>
        <v>0</v>
      </c>
      <c r="S1745" s="591">
        <f>S1746</f>
        <v>0</v>
      </c>
      <c r="T1745" s="217"/>
      <c r="U1745" s="498">
        <f>U1746</f>
        <v>0</v>
      </c>
      <c r="V1745" s="498">
        <f>V1746</f>
        <v>0</v>
      </c>
      <c r="W1745" s="203">
        <f t="shared" si="558"/>
        <v>0</v>
      </c>
      <c r="X1745" s="203">
        <f t="shared" si="559"/>
        <v>0</v>
      </c>
    </row>
    <row r="1746" spans="1:24" s="176" customFormat="1" ht="24.75" hidden="1" customHeight="1" x14ac:dyDescent="0.2">
      <c r="A1746" s="124" t="s">
        <v>1543</v>
      </c>
      <c r="B1746" s="243" t="s">
        <v>182</v>
      </c>
      <c r="C1746" s="353" t="s">
        <v>621</v>
      </c>
      <c r="D1746" s="353" t="s">
        <v>606</v>
      </c>
      <c r="E1746" s="369" t="s">
        <v>855</v>
      </c>
      <c r="F1746" s="369" t="s">
        <v>132</v>
      </c>
      <c r="G1746" s="288"/>
      <c r="H1746" s="288"/>
      <c r="I1746" s="288"/>
      <c r="J1746" s="288"/>
      <c r="K1746" s="43">
        <f t="shared" si="552"/>
        <v>0</v>
      </c>
      <c r="L1746" s="43">
        <f t="shared" si="553"/>
        <v>0</v>
      </c>
      <c r="M1746" s="217">
        <f t="shared" si="564"/>
        <v>0</v>
      </c>
      <c r="N1746" s="171"/>
      <c r="R1746" s="288"/>
      <c r="S1746" s="288"/>
      <c r="T1746" s="217"/>
      <c r="U1746" s="288"/>
      <c r="V1746" s="288"/>
      <c r="W1746" s="203">
        <f t="shared" si="558"/>
        <v>0</v>
      </c>
      <c r="X1746" s="203">
        <f t="shared" si="559"/>
        <v>0</v>
      </c>
    </row>
    <row r="1747" spans="1:24" s="176" customFormat="1" ht="20.25" hidden="1" customHeight="1" x14ac:dyDescent="0.2">
      <c r="A1747" s="451" t="s">
        <v>1543</v>
      </c>
      <c r="B1747" s="306" t="s">
        <v>182</v>
      </c>
      <c r="C1747" s="354" t="s">
        <v>621</v>
      </c>
      <c r="D1747" s="354" t="s">
        <v>606</v>
      </c>
      <c r="E1747" s="450" t="s">
        <v>1031</v>
      </c>
      <c r="F1747" s="450"/>
      <c r="G1747" s="498">
        <f>G1748</f>
        <v>0</v>
      </c>
      <c r="H1747" s="498">
        <f>H1748</f>
        <v>0</v>
      </c>
      <c r="I1747" s="591">
        <f>I1748</f>
        <v>0</v>
      </c>
      <c r="J1747" s="591">
        <f>J1748</f>
        <v>0</v>
      </c>
      <c r="K1747" s="591">
        <f t="shared" si="552"/>
        <v>0</v>
      </c>
      <c r="L1747" s="591">
        <f t="shared" si="553"/>
        <v>0</v>
      </c>
      <c r="M1747" s="217">
        <f t="shared" si="564"/>
        <v>0</v>
      </c>
      <c r="N1747" s="171"/>
      <c r="R1747" s="591">
        <f>R1748</f>
        <v>0</v>
      </c>
      <c r="S1747" s="591">
        <f>S1748</f>
        <v>0</v>
      </c>
      <c r="T1747" s="217">
        <f>I1747-G1747</f>
        <v>0</v>
      </c>
      <c r="U1747" s="498">
        <f>U1748</f>
        <v>0</v>
      </c>
      <c r="V1747" s="498">
        <f>V1748</f>
        <v>0</v>
      </c>
      <c r="W1747" s="203">
        <f t="shared" si="558"/>
        <v>0</v>
      </c>
      <c r="X1747" s="203">
        <f t="shared" si="559"/>
        <v>0</v>
      </c>
    </row>
    <row r="1748" spans="1:24" s="176" customFormat="1" ht="18.75" hidden="1" customHeight="1" x14ac:dyDescent="0.2">
      <c r="A1748" s="124" t="s">
        <v>1543</v>
      </c>
      <c r="B1748" s="243" t="s">
        <v>182</v>
      </c>
      <c r="C1748" s="353" t="s">
        <v>621</v>
      </c>
      <c r="D1748" s="353" t="s">
        <v>606</v>
      </c>
      <c r="E1748" s="369" t="s">
        <v>1031</v>
      </c>
      <c r="F1748" s="369" t="s">
        <v>132</v>
      </c>
      <c r="G1748" s="288"/>
      <c r="H1748" s="288"/>
      <c r="I1748" s="288"/>
      <c r="J1748" s="288"/>
      <c r="K1748" s="43">
        <f t="shared" si="552"/>
        <v>0</v>
      </c>
      <c r="L1748" s="43">
        <f t="shared" si="553"/>
        <v>0</v>
      </c>
      <c r="M1748" s="217">
        <f t="shared" si="564"/>
        <v>0</v>
      </c>
      <c r="N1748" s="171"/>
      <c r="R1748" s="288"/>
      <c r="S1748" s="288"/>
      <c r="T1748" s="217">
        <f>I1748-G1748</f>
        <v>0</v>
      </c>
      <c r="U1748" s="288"/>
      <c r="V1748" s="288"/>
      <c r="W1748" s="203">
        <f t="shared" si="558"/>
        <v>0</v>
      </c>
      <c r="X1748" s="203">
        <f t="shared" si="559"/>
        <v>0</v>
      </c>
    </row>
    <row r="1749" spans="1:24" s="176" customFormat="1" ht="18" hidden="1" customHeight="1" x14ac:dyDescent="0.2">
      <c r="A1749" s="451" t="s">
        <v>1543</v>
      </c>
      <c r="B1749" s="306" t="s">
        <v>182</v>
      </c>
      <c r="C1749" s="354" t="s">
        <v>621</v>
      </c>
      <c r="D1749" s="354" t="s">
        <v>606</v>
      </c>
      <c r="E1749" s="450" t="s">
        <v>1168</v>
      </c>
      <c r="F1749" s="450"/>
      <c r="G1749" s="498">
        <f>G1750</f>
        <v>0</v>
      </c>
      <c r="H1749" s="498">
        <f>H1750</f>
        <v>0</v>
      </c>
      <c r="I1749" s="591">
        <f>I1750</f>
        <v>0</v>
      </c>
      <c r="J1749" s="591">
        <f>J1750</f>
        <v>0</v>
      </c>
      <c r="K1749" s="591">
        <f t="shared" si="552"/>
        <v>0</v>
      </c>
      <c r="L1749" s="591">
        <f t="shared" si="553"/>
        <v>0</v>
      </c>
      <c r="M1749" s="217">
        <f t="shared" si="564"/>
        <v>0</v>
      </c>
      <c r="N1749" s="171"/>
      <c r="R1749" s="591">
        <f>R1750</f>
        <v>0</v>
      </c>
      <c r="S1749" s="591">
        <f>S1750</f>
        <v>0</v>
      </c>
      <c r="T1749" s="217"/>
      <c r="U1749" s="498">
        <f>U1750</f>
        <v>0</v>
      </c>
      <c r="V1749" s="498">
        <f>V1750</f>
        <v>0</v>
      </c>
      <c r="W1749" s="203">
        <f t="shared" si="558"/>
        <v>0</v>
      </c>
      <c r="X1749" s="203">
        <f t="shared" si="559"/>
        <v>0</v>
      </c>
    </row>
    <row r="1750" spans="1:24" s="176" customFormat="1" ht="18" hidden="1" customHeight="1" x14ac:dyDescent="0.2">
      <c r="A1750" s="124" t="s">
        <v>1543</v>
      </c>
      <c r="B1750" s="243" t="s">
        <v>182</v>
      </c>
      <c r="C1750" s="353" t="s">
        <v>621</v>
      </c>
      <c r="D1750" s="353" t="s">
        <v>606</v>
      </c>
      <c r="E1750" s="369" t="s">
        <v>1168</v>
      </c>
      <c r="F1750" s="369" t="s">
        <v>132</v>
      </c>
      <c r="G1750" s="288"/>
      <c r="H1750" s="288"/>
      <c r="I1750" s="288"/>
      <c r="J1750" s="288"/>
      <c r="K1750" s="43">
        <f t="shared" si="552"/>
        <v>0</v>
      </c>
      <c r="L1750" s="43">
        <f t="shared" si="553"/>
        <v>0</v>
      </c>
      <c r="M1750" s="217">
        <f t="shared" si="564"/>
        <v>0</v>
      </c>
      <c r="N1750" s="171"/>
      <c r="P1750" s="302"/>
      <c r="Q1750" s="302"/>
      <c r="R1750" s="288"/>
      <c r="S1750" s="288"/>
      <c r="T1750" s="217"/>
      <c r="U1750" s="288"/>
      <c r="V1750" s="288"/>
      <c r="W1750" s="203">
        <f t="shared" si="558"/>
        <v>0</v>
      </c>
      <c r="X1750" s="203">
        <f t="shared" si="559"/>
        <v>0</v>
      </c>
    </row>
    <row r="1751" spans="1:24" s="176" customFormat="1" ht="19.5" customHeight="1" x14ac:dyDescent="0.2">
      <c r="A1751" s="746" t="s">
        <v>1383</v>
      </c>
      <c r="B1751" s="306" t="s">
        <v>182</v>
      </c>
      <c r="C1751" s="354" t="s">
        <v>621</v>
      </c>
      <c r="D1751" s="354" t="s">
        <v>606</v>
      </c>
      <c r="E1751" s="450" t="s">
        <v>1198</v>
      </c>
      <c r="F1751" s="450"/>
      <c r="G1751" s="591">
        <f>G1752</f>
        <v>10475</v>
      </c>
      <c r="H1751" s="591">
        <f>H1752</f>
        <v>0</v>
      </c>
      <c r="I1751" s="591">
        <f>I1752</f>
        <v>10475</v>
      </c>
      <c r="J1751" s="591">
        <f>J1752</f>
        <v>0</v>
      </c>
      <c r="K1751" s="591">
        <f t="shared" si="552"/>
        <v>0</v>
      </c>
      <c r="L1751" s="591">
        <f t="shared" si="553"/>
        <v>0</v>
      </c>
      <c r="M1751" s="217">
        <f t="shared" si="564"/>
        <v>0</v>
      </c>
      <c r="N1751" s="171"/>
      <c r="P1751" s="302"/>
      <c r="Q1751" s="302"/>
      <c r="R1751" s="591">
        <f>R1752</f>
        <v>0</v>
      </c>
      <c r="S1751" s="591">
        <f>S1752</f>
        <v>0</v>
      </c>
      <c r="T1751" s="217"/>
      <c r="U1751" s="498">
        <f>U1752</f>
        <v>0</v>
      </c>
      <c r="V1751" s="498">
        <f>V1752</f>
        <v>0</v>
      </c>
      <c r="W1751" s="203">
        <f t="shared" si="558"/>
        <v>0</v>
      </c>
      <c r="X1751" s="203">
        <f t="shared" si="559"/>
        <v>0</v>
      </c>
    </row>
    <row r="1752" spans="1:24" s="176" customFormat="1" ht="20.25" customHeight="1" x14ac:dyDescent="0.2">
      <c r="A1752" s="739" t="s">
        <v>1543</v>
      </c>
      <c r="B1752" s="243" t="s">
        <v>182</v>
      </c>
      <c r="C1752" s="353" t="s">
        <v>621</v>
      </c>
      <c r="D1752" s="353" t="s">
        <v>606</v>
      </c>
      <c r="E1752" s="369" t="s">
        <v>1198</v>
      </c>
      <c r="F1752" s="369" t="s">
        <v>132</v>
      </c>
      <c r="G1752" s="288">
        <v>10475</v>
      </c>
      <c r="H1752" s="288"/>
      <c r="I1752" s="288">
        <v>10475</v>
      </c>
      <c r="J1752" s="288"/>
      <c r="K1752" s="43">
        <f t="shared" si="552"/>
        <v>0</v>
      </c>
      <c r="L1752" s="43">
        <f t="shared" si="553"/>
        <v>0</v>
      </c>
      <c r="M1752" s="217">
        <f t="shared" si="564"/>
        <v>0</v>
      </c>
      <c r="N1752" s="171"/>
      <c r="P1752" s="302"/>
      <c r="Q1752" s="302"/>
      <c r="R1752" s="288">
        <v>0</v>
      </c>
      <c r="S1752" s="288"/>
      <c r="T1752" s="217"/>
      <c r="U1752" s="288">
        <v>0</v>
      </c>
      <c r="V1752" s="288"/>
      <c r="W1752" s="203">
        <f t="shared" si="558"/>
        <v>0</v>
      </c>
      <c r="X1752" s="203">
        <f t="shared" si="559"/>
        <v>0</v>
      </c>
    </row>
    <row r="1753" spans="1:24" s="176" customFormat="1" ht="36.75" customHeight="1" x14ac:dyDescent="0.2">
      <c r="A1753" s="746" t="s">
        <v>2004</v>
      </c>
      <c r="B1753" s="306" t="s">
        <v>182</v>
      </c>
      <c r="C1753" s="354" t="s">
        <v>621</v>
      </c>
      <c r="D1753" s="354" t="s">
        <v>606</v>
      </c>
      <c r="E1753" s="719" t="s">
        <v>2027</v>
      </c>
      <c r="F1753" s="450"/>
      <c r="G1753" s="591">
        <f>G1754</f>
        <v>0</v>
      </c>
      <c r="H1753" s="591">
        <f>H1754</f>
        <v>0</v>
      </c>
      <c r="I1753" s="591">
        <f>I1754</f>
        <v>7762.2</v>
      </c>
      <c r="J1753" s="591">
        <f>J1754</f>
        <v>0</v>
      </c>
      <c r="K1753" s="591">
        <f t="shared" si="552"/>
        <v>7762.2</v>
      </c>
      <c r="L1753" s="591">
        <f t="shared" si="553"/>
        <v>0</v>
      </c>
      <c r="M1753" s="217">
        <f t="shared" si="564"/>
        <v>0</v>
      </c>
      <c r="N1753" s="171"/>
      <c r="P1753" s="302"/>
      <c r="Q1753" s="302"/>
      <c r="R1753" s="591">
        <f>R1754</f>
        <v>0</v>
      </c>
      <c r="S1753" s="591">
        <f>S1754</f>
        <v>0</v>
      </c>
      <c r="T1753" s="217"/>
      <c r="U1753" s="498">
        <f>U1754</f>
        <v>4641</v>
      </c>
      <c r="V1753" s="498">
        <f>V1754</f>
        <v>0</v>
      </c>
      <c r="W1753" s="203">
        <f t="shared" si="558"/>
        <v>-7762.2</v>
      </c>
      <c r="X1753" s="203">
        <f t="shared" si="559"/>
        <v>0</v>
      </c>
    </row>
    <row r="1754" spans="1:24" s="176" customFormat="1" ht="11.25" customHeight="1" x14ac:dyDescent="0.2">
      <c r="A1754" s="739" t="s">
        <v>1543</v>
      </c>
      <c r="B1754" s="243" t="s">
        <v>182</v>
      </c>
      <c r="C1754" s="353" t="s">
        <v>621</v>
      </c>
      <c r="D1754" s="353" t="s">
        <v>606</v>
      </c>
      <c r="E1754" s="386" t="s">
        <v>2027</v>
      </c>
      <c r="F1754" s="369" t="s">
        <v>132</v>
      </c>
      <c r="G1754" s="288"/>
      <c r="H1754" s="288"/>
      <c r="I1754" s="288">
        <v>7762.2</v>
      </c>
      <c r="J1754" s="288"/>
      <c r="K1754" s="43">
        <f t="shared" si="552"/>
        <v>7762.2</v>
      </c>
      <c r="L1754" s="43">
        <f t="shared" si="553"/>
        <v>0</v>
      </c>
      <c r="M1754" s="217">
        <f t="shared" si="564"/>
        <v>0</v>
      </c>
      <c r="N1754" s="171"/>
      <c r="P1754" s="302"/>
      <c r="Q1754" s="302"/>
      <c r="R1754" s="288"/>
      <c r="S1754" s="288"/>
      <c r="T1754" s="217"/>
      <c r="U1754" s="288">
        <v>4641</v>
      </c>
      <c r="V1754" s="288"/>
      <c r="W1754" s="203">
        <f t="shared" si="558"/>
        <v>-7762.2</v>
      </c>
      <c r="X1754" s="203">
        <f t="shared" si="559"/>
        <v>0</v>
      </c>
    </row>
    <row r="1755" spans="1:24" s="176" customFormat="1" ht="15" x14ac:dyDescent="0.2">
      <c r="A1755" s="746" t="s">
        <v>1740</v>
      </c>
      <c r="B1755" s="306" t="s">
        <v>182</v>
      </c>
      <c r="C1755" s="354" t="s">
        <v>621</v>
      </c>
      <c r="D1755" s="354" t="s">
        <v>606</v>
      </c>
      <c r="E1755" s="450" t="s">
        <v>584</v>
      </c>
      <c r="F1755" s="450"/>
      <c r="G1755" s="591">
        <f>G1756+G1757</f>
        <v>42665.326999999997</v>
      </c>
      <c r="H1755" s="591">
        <f>H1756+H1757</f>
        <v>0</v>
      </c>
      <c r="I1755" s="591">
        <f>I1756+I1757</f>
        <v>42665.326999999997</v>
      </c>
      <c r="J1755" s="591">
        <f>J1756+J1757</f>
        <v>0</v>
      </c>
      <c r="K1755" s="591">
        <f t="shared" si="552"/>
        <v>0</v>
      </c>
      <c r="L1755" s="591">
        <f t="shared" si="553"/>
        <v>0</v>
      </c>
      <c r="M1755" s="217">
        <f t="shared" si="564"/>
        <v>0</v>
      </c>
      <c r="N1755" s="170">
        <f>N1756</f>
        <v>27160.5</v>
      </c>
      <c r="P1755" s="302"/>
      <c r="Q1755" s="302"/>
      <c r="R1755" s="591">
        <f>R1756</f>
        <v>40967.93</v>
      </c>
      <c r="S1755" s="591">
        <f>S1756</f>
        <v>0</v>
      </c>
      <c r="T1755" s="217">
        <f t="shared" ref="T1755:T1774" si="565">I1755-G1755</f>
        <v>0</v>
      </c>
      <c r="U1755" s="498">
        <f>U1756</f>
        <v>35560.800000000003</v>
      </c>
      <c r="V1755" s="498">
        <f>V1756</f>
        <v>0</v>
      </c>
      <c r="W1755" s="203">
        <f t="shared" si="558"/>
        <v>0</v>
      </c>
      <c r="X1755" s="203">
        <f t="shared" si="559"/>
        <v>0</v>
      </c>
    </row>
    <row r="1756" spans="1:24" s="176" customFormat="1" ht="15" x14ac:dyDescent="0.2">
      <c r="A1756" s="744" t="s">
        <v>164</v>
      </c>
      <c r="B1756" s="243" t="s">
        <v>182</v>
      </c>
      <c r="C1756" s="353" t="s">
        <v>621</v>
      </c>
      <c r="D1756" s="353" t="s">
        <v>606</v>
      </c>
      <c r="E1756" s="386" t="s">
        <v>584</v>
      </c>
      <c r="F1756" s="369" t="s">
        <v>132</v>
      </c>
      <c r="G1756" s="288">
        <v>42665.326999999997</v>
      </c>
      <c r="H1756" s="288"/>
      <c r="I1756" s="288">
        <v>42665.326999999997</v>
      </c>
      <c r="J1756" s="288"/>
      <c r="K1756" s="43">
        <f t="shared" si="552"/>
        <v>0</v>
      </c>
      <c r="L1756" s="43">
        <f t="shared" si="553"/>
        <v>0</v>
      </c>
      <c r="M1756" s="217">
        <f t="shared" si="564"/>
        <v>0</v>
      </c>
      <c r="N1756" s="171">
        <f>32076.7-1506-3410.2</f>
        <v>27160.5</v>
      </c>
      <c r="P1756" s="189">
        <f>G1756-U1756</f>
        <v>7104.5269999999946</v>
      </c>
      <c r="Q1756" s="189"/>
      <c r="R1756" s="288">
        <v>40967.93</v>
      </c>
      <c r="S1756" s="288"/>
      <c r="T1756" s="217">
        <f t="shared" si="565"/>
        <v>0</v>
      </c>
      <c r="U1756" s="288">
        <v>35560.800000000003</v>
      </c>
      <c r="V1756" s="288">
        <v>0</v>
      </c>
      <c r="W1756" s="203">
        <f t="shared" si="558"/>
        <v>0</v>
      </c>
      <c r="X1756" s="203">
        <f t="shared" si="559"/>
        <v>0</v>
      </c>
    </row>
    <row r="1757" spans="1:24" s="176" customFormat="1" ht="15" hidden="1" x14ac:dyDescent="0.2">
      <c r="A1757" s="186" t="s">
        <v>1750</v>
      </c>
      <c r="B1757" s="243" t="s">
        <v>182</v>
      </c>
      <c r="C1757" s="353" t="s">
        <v>621</v>
      </c>
      <c r="D1757" s="353" t="s">
        <v>606</v>
      </c>
      <c r="E1757" s="386" t="s">
        <v>584</v>
      </c>
      <c r="F1757" s="369">
        <v>870</v>
      </c>
      <c r="G1757" s="288">
        <v>0</v>
      </c>
      <c r="H1757" s="288"/>
      <c r="I1757" s="288">
        <v>0</v>
      </c>
      <c r="J1757" s="288"/>
      <c r="K1757" s="43">
        <f t="shared" si="552"/>
        <v>0</v>
      </c>
      <c r="L1757" s="43">
        <f t="shared" si="553"/>
        <v>0</v>
      </c>
      <c r="M1757" s="217"/>
      <c r="N1757" s="171"/>
      <c r="P1757" s="189"/>
      <c r="Q1757" s="189"/>
      <c r="R1757" s="288"/>
      <c r="S1757" s="288"/>
      <c r="T1757" s="217"/>
      <c r="U1757" s="288"/>
      <c r="V1757" s="288"/>
      <c r="W1757" s="203"/>
      <c r="X1757" s="203"/>
    </row>
    <row r="1758" spans="1:24" s="176" customFormat="1" ht="15" x14ac:dyDescent="0.2">
      <c r="A1758" s="746" t="s">
        <v>1739</v>
      </c>
      <c r="B1758" s="306" t="s">
        <v>182</v>
      </c>
      <c r="C1758" s="354" t="s">
        <v>621</v>
      </c>
      <c r="D1758" s="354" t="s">
        <v>606</v>
      </c>
      <c r="E1758" s="640" t="s">
        <v>585</v>
      </c>
      <c r="F1758" s="450"/>
      <c r="G1758" s="591">
        <f>G1759</f>
        <v>10988.353999999999</v>
      </c>
      <c r="H1758" s="591">
        <f>H1759</f>
        <v>0</v>
      </c>
      <c r="I1758" s="591">
        <f>I1759</f>
        <v>10988.353999999999</v>
      </c>
      <c r="J1758" s="591">
        <f>J1759</f>
        <v>0</v>
      </c>
      <c r="K1758" s="591">
        <f t="shared" si="552"/>
        <v>0</v>
      </c>
      <c r="L1758" s="591">
        <f t="shared" si="553"/>
        <v>0</v>
      </c>
      <c r="M1758" s="217">
        <f t="shared" si="564"/>
        <v>0</v>
      </c>
      <c r="N1758" s="42">
        <f>N1759</f>
        <v>700</v>
      </c>
      <c r="R1758" s="591">
        <f>R1759</f>
        <v>7421.4040000000005</v>
      </c>
      <c r="S1758" s="591">
        <f>S1759</f>
        <v>0</v>
      </c>
      <c r="T1758" s="217">
        <f t="shared" si="565"/>
        <v>0</v>
      </c>
      <c r="U1758" s="498">
        <f>U1759</f>
        <v>4725.7</v>
      </c>
      <c r="V1758" s="498">
        <f>V1759</f>
        <v>0</v>
      </c>
      <c r="W1758" s="203">
        <f t="shared" si="558"/>
        <v>0</v>
      </c>
      <c r="X1758" s="203">
        <f t="shared" si="559"/>
        <v>0</v>
      </c>
    </row>
    <row r="1759" spans="1:24" s="176" customFormat="1" ht="17.25" customHeight="1" x14ac:dyDescent="0.2">
      <c r="A1759" s="744" t="s">
        <v>164</v>
      </c>
      <c r="B1759" s="243" t="s">
        <v>182</v>
      </c>
      <c r="C1759" s="353" t="s">
        <v>621</v>
      </c>
      <c r="D1759" s="353" t="s">
        <v>606</v>
      </c>
      <c r="E1759" s="386" t="s">
        <v>585</v>
      </c>
      <c r="F1759" s="369" t="s">
        <v>132</v>
      </c>
      <c r="G1759" s="288">
        <v>10988.353999999999</v>
      </c>
      <c r="H1759" s="288"/>
      <c r="I1759" s="288">
        <v>10988.353999999999</v>
      </c>
      <c r="J1759" s="288"/>
      <c r="K1759" s="43">
        <f t="shared" si="552"/>
        <v>0</v>
      </c>
      <c r="L1759" s="43">
        <f t="shared" si="553"/>
        <v>0</v>
      </c>
      <c r="M1759" s="217">
        <f t="shared" si="564"/>
        <v>0</v>
      </c>
      <c r="N1759" s="43">
        <v>700</v>
      </c>
      <c r="P1759" s="189">
        <f>G1759-U1759</f>
        <v>6262.6539999999995</v>
      </c>
      <c r="Q1759" s="189"/>
      <c r="R1759" s="288">
        <v>7421.4040000000005</v>
      </c>
      <c r="S1759" s="288"/>
      <c r="T1759" s="217">
        <f t="shared" si="565"/>
        <v>0</v>
      </c>
      <c r="U1759" s="288">
        <v>4725.7</v>
      </c>
      <c r="V1759" s="288">
        <v>0</v>
      </c>
      <c r="W1759" s="203">
        <f t="shared" si="558"/>
        <v>0</v>
      </c>
      <c r="X1759" s="203">
        <f t="shared" si="559"/>
        <v>0</v>
      </c>
    </row>
    <row r="1760" spans="1:24" ht="15" hidden="1" x14ac:dyDescent="0.2">
      <c r="A1760" s="451" t="s">
        <v>1543</v>
      </c>
      <c r="B1760" s="306" t="s">
        <v>182</v>
      </c>
      <c r="C1760" s="354" t="s">
        <v>621</v>
      </c>
      <c r="D1760" s="354" t="s">
        <v>606</v>
      </c>
      <c r="E1760" s="450" t="s">
        <v>585</v>
      </c>
      <c r="F1760" s="450"/>
      <c r="G1760" s="498">
        <f>G1761</f>
        <v>0</v>
      </c>
      <c r="H1760" s="498">
        <f>H1761</f>
        <v>0</v>
      </c>
      <c r="I1760" s="591">
        <f>I1761</f>
        <v>0</v>
      </c>
      <c r="J1760" s="591">
        <f>J1761</f>
        <v>0</v>
      </c>
      <c r="K1760" s="591">
        <f t="shared" si="552"/>
        <v>0</v>
      </c>
      <c r="L1760" s="591">
        <f t="shared" si="553"/>
        <v>0</v>
      </c>
      <c r="M1760" s="217">
        <f t="shared" si="564"/>
        <v>0</v>
      </c>
      <c r="N1760" s="42">
        <f>N1761</f>
        <v>2710.2</v>
      </c>
      <c r="R1760" s="591">
        <f>R1761</f>
        <v>0</v>
      </c>
      <c r="S1760" s="591">
        <f>S1761</f>
        <v>0</v>
      </c>
      <c r="T1760" s="217">
        <f t="shared" si="565"/>
        <v>0</v>
      </c>
      <c r="U1760" s="498">
        <f>U1761</f>
        <v>0</v>
      </c>
      <c r="V1760" s="498">
        <f>V1761</f>
        <v>0</v>
      </c>
      <c r="W1760" s="203">
        <f t="shared" si="558"/>
        <v>0</v>
      </c>
      <c r="X1760" s="203">
        <f t="shared" si="559"/>
        <v>0</v>
      </c>
    </row>
    <row r="1761" spans="1:24" ht="15" hidden="1" x14ac:dyDescent="0.2">
      <c r="A1761" s="124" t="s">
        <v>1543</v>
      </c>
      <c r="B1761" s="243" t="s">
        <v>182</v>
      </c>
      <c r="C1761" s="353" t="s">
        <v>621</v>
      </c>
      <c r="D1761" s="353" t="s">
        <v>606</v>
      </c>
      <c r="E1761" s="369" t="s">
        <v>585</v>
      </c>
      <c r="F1761" s="369" t="s">
        <v>132</v>
      </c>
      <c r="G1761" s="288"/>
      <c r="H1761" s="288"/>
      <c r="I1761" s="288"/>
      <c r="J1761" s="288"/>
      <c r="K1761" s="43">
        <f t="shared" si="552"/>
        <v>0</v>
      </c>
      <c r="L1761" s="43">
        <f t="shared" si="553"/>
        <v>0</v>
      </c>
      <c r="M1761" s="217">
        <f t="shared" si="564"/>
        <v>0</v>
      </c>
      <c r="N1761" s="43">
        <v>2710.2</v>
      </c>
      <c r="R1761" s="288"/>
      <c r="S1761" s="288"/>
      <c r="T1761" s="217">
        <f t="shared" si="565"/>
        <v>0</v>
      </c>
      <c r="U1761" s="288"/>
      <c r="V1761" s="288"/>
      <c r="W1761" s="203">
        <f t="shared" si="558"/>
        <v>0</v>
      </c>
      <c r="X1761" s="203">
        <f t="shared" si="559"/>
        <v>0</v>
      </c>
    </row>
    <row r="1762" spans="1:24" ht="15" hidden="1" x14ac:dyDescent="0.2">
      <c r="A1762" s="451" t="s">
        <v>1543</v>
      </c>
      <c r="B1762" s="306" t="s">
        <v>182</v>
      </c>
      <c r="C1762" s="354" t="s">
        <v>621</v>
      </c>
      <c r="D1762" s="354" t="s">
        <v>606</v>
      </c>
      <c r="E1762" s="450" t="s">
        <v>816</v>
      </c>
      <c r="F1762" s="450"/>
      <c r="G1762" s="498">
        <f>G1763</f>
        <v>0</v>
      </c>
      <c r="H1762" s="498">
        <f>H1763</f>
        <v>0</v>
      </c>
      <c r="I1762" s="591">
        <f>I1763</f>
        <v>0</v>
      </c>
      <c r="J1762" s="591">
        <f>J1763</f>
        <v>0</v>
      </c>
      <c r="K1762" s="591">
        <f t="shared" si="552"/>
        <v>0</v>
      </c>
      <c r="L1762" s="591">
        <f t="shared" si="553"/>
        <v>0</v>
      </c>
      <c r="M1762" s="217">
        <f t="shared" si="564"/>
        <v>0</v>
      </c>
      <c r="N1762" s="43"/>
      <c r="R1762" s="591">
        <f>R1763</f>
        <v>0</v>
      </c>
      <c r="S1762" s="591">
        <f>S1763</f>
        <v>0</v>
      </c>
      <c r="T1762" s="217">
        <f t="shared" si="565"/>
        <v>0</v>
      </c>
      <c r="U1762" s="498">
        <f>U1763</f>
        <v>0</v>
      </c>
      <c r="V1762" s="498">
        <f>V1763</f>
        <v>0</v>
      </c>
      <c r="W1762" s="203">
        <f t="shared" si="558"/>
        <v>0</v>
      </c>
      <c r="X1762" s="203">
        <f t="shared" si="559"/>
        <v>0</v>
      </c>
    </row>
    <row r="1763" spans="1:24" ht="15" hidden="1" x14ac:dyDescent="0.2">
      <c r="A1763" s="124" t="s">
        <v>1543</v>
      </c>
      <c r="B1763" s="243" t="s">
        <v>182</v>
      </c>
      <c r="C1763" s="353" t="s">
        <v>621</v>
      </c>
      <c r="D1763" s="353" t="s">
        <v>606</v>
      </c>
      <c r="E1763" s="369" t="s">
        <v>816</v>
      </c>
      <c r="F1763" s="369" t="s">
        <v>132</v>
      </c>
      <c r="G1763" s="288"/>
      <c r="H1763" s="288"/>
      <c r="I1763" s="288"/>
      <c r="J1763" s="288"/>
      <c r="K1763" s="43">
        <f t="shared" si="552"/>
        <v>0</v>
      </c>
      <c r="L1763" s="43">
        <f t="shared" si="553"/>
        <v>0</v>
      </c>
      <c r="M1763" s="217">
        <f t="shared" si="564"/>
        <v>0</v>
      </c>
      <c r="N1763" s="43"/>
      <c r="R1763" s="288"/>
      <c r="S1763" s="288"/>
      <c r="T1763" s="217">
        <f t="shared" si="565"/>
        <v>0</v>
      </c>
      <c r="U1763" s="288"/>
      <c r="V1763" s="288"/>
      <c r="W1763" s="203">
        <f t="shared" si="558"/>
        <v>0</v>
      </c>
      <c r="X1763" s="203">
        <f t="shared" si="559"/>
        <v>0</v>
      </c>
    </row>
    <row r="1764" spans="1:24" ht="15" x14ac:dyDescent="0.2">
      <c r="A1764" s="746" t="s">
        <v>1565</v>
      </c>
      <c r="B1764" s="306" t="s">
        <v>182</v>
      </c>
      <c r="C1764" s="354" t="s">
        <v>621</v>
      </c>
      <c r="D1764" s="354" t="s">
        <v>606</v>
      </c>
      <c r="E1764" s="450" t="s">
        <v>312</v>
      </c>
      <c r="F1764" s="450"/>
      <c r="G1764" s="591">
        <f t="shared" ref="G1764:J1765" si="566">G1765</f>
        <v>0</v>
      </c>
      <c r="H1764" s="591">
        <f t="shared" si="566"/>
        <v>0</v>
      </c>
      <c r="I1764" s="591">
        <f t="shared" si="566"/>
        <v>329</v>
      </c>
      <c r="J1764" s="591">
        <f t="shared" si="566"/>
        <v>329</v>
      </c>
      <c r="K1764" s="591">
        <f t="shared" si="552"/>
        <v>329</v>
      </c>
      <c r="L1764" s="591">
        <f t="shared" si="553"/>
        <v>329</v>
      </c>
      <c r="M1764" s="217">
        <f t="shared" si="564"/>
        <v>0</v>
      </c>
      <c r="N1764" s="43"/>
      <c r="R1764" s="591">
        <f>R1765</f>
        <v>0</v>
      </c>
      <c r="S1764" s="591">
        <f>S1765</f>
        <v>0</v>
      </c>
      <c r="T1764" s="217">
        <f t="shared" si="565"/>
        <v>329</v>
      </c>
      <c r="U1764" s="498">
        <f>U1765</f>
        <v>0</v>
      </c>
      <c r="V1764" s="498">
        <f>V1765</f>
        <v>0</v>
      </c>
      <c r="W1764" s="203">
        <f t="shared" si="558"/>
        <v>-329</v>
      </c>
      <c r="X1764" s="203">
        <f t="shared" si="559"/>
        <v>0</v>
      </c>
    </row>
    <row r="1765" spans="1:24" ht="16.5" customHeight="1" x14ac:dyDescent="0.2">
      <c r="A1765" s="747" t="s">
        <v>1414</v>
      </c>
      <c r="B1765" s="306" t="s">
        <v>182</v>
      </c>
      <c r="C1765" s="354" t="s">
        <v>621</v>
      </c>
      <c r="D1765" s="354" t="s">
        <v>606</v>
      </c>
      <c r="E1765" s="450">
        <v>9990055493</v>
      </c>
      <c r="F1765" s="450"/>
      <c r="G1765" s="591">
        <f t="shared" si="566"/>
        <v>0</v>
      </c>
      <c r="H1765" s="591">
        <f t="shared" si="566"/>
        <v>0</v>
      </c>
      <c r="I1765" s="591">
        <f t="shared" si="566"/>
        <v>329</v>
      </c>
      <c r="J1765" s="591">
        <f t="shared" si="566"/>
        <v>329</v>
      </c>
      <c r="K1765" s="591">
        <f t="shared" si="552"/>
        <v>329</v>
      </c>
      <c r="L1765" s="591">
        <f t="shared" si="553"/>
        <v>329</v>
      </c>
      <c r="M1765" s="217">
        <f t="shared" si="564"/>
        <v>0</v>
      </c>
      <c r="N1765" s="43"/>
      <c r="R1765" s="591">
        <f>R1766</f>
        <v>0</v>
      </c>
      <c r="S1765" s="591">
        <f>S1766</f>
        <v>0</v>
      </c>
      <c r="T1765" s="217">
        <f t="shared" si="565"/>
        <v>329</v>
      </c>
      <c r="U1765" s="498">
        <f>U1766</f>
        <v>0</v>
      </c>
      <c r="V1765" s="498">
        <f>V1766</f>
        <v>0</v>
      </c>
      <c r="W1765" s="203">
        <f t="shared" si="558"/>
        <v>-329</v>
      </c>
      <c r="X1765" s="203">
        <f t="shared" si="559"/>
        <v>0</v>
      </c>
    </row>
    <row r="1766" spans="1:24" ht="16.5" customHeight="1" x14ac:dyDescent="0.2">
      <c r="A1766" s="739" t="s">
        <v>1584</v>
      </c>
      <c r="B1766" s="243" t="s">
        <v>182</v>
      </c>
      <c r="C1766" s="353" t="s">
        <v>621</v>
      </c>
      <c r="D1766" s="353" t="s">
        <v>606</v>
      </c>
      <c r="E1766" s="369">
        <v>9990055493</v>
      </c>
      <c r="F1766" s="369" t="s">
        <v>132</v>
      </c>
      <c r="G1766" s="288"/>
      <c r="H1766" s="288"/>
      <c r="I1766" s="288">
        <v>329</v>
      </c>
      <c r="J1766" s="288">
        <v>329</v>
      </c>
      <c r="K1766" s="43">
        <f t="shared" si="552"/>
        <v>329</v>
      </c>
      <c r="L1766" s="43">
        <f t="shared" si="553"/>
        <v>329</v>
      </c>
      <c r="M1766" s="217">
        <f t="shared" si="564"/>
        <v>0</v>
      </c>
      <c r="N1766" s="43"/>
      <c r="R1766" s="288"/>
      <c r="S1766" s="288"/>
      <c r="T1766" s="217">
        <f t="shared" si="565"/>
        <v>329</v>
      </c>
      <c r="U1766" s="288"/>
      <c r="V1766" s="288"/>
      <c r="W1766" s="203">
        <f t="shared" si="558"/>
        <v>-329</v>
      </c>
      <c r="X1766" s="203">
        <f t="shared" si="559"/>
        <v>0</v>
      </c>
    </row>
    <row r="1767" spans="1:24" s="174" customFormat="1" ht="30" hidden="1" customHeight="1" x14ac:dyDescent="0.25">
      <c r="A1767" s="743" t="s">
        <v>642</v>
      </c>
      <c r="B1767" s="66" t="s">
        <v>204</v>
      </c>
      <c r="C1767" s="346"/>
      <c r="D1767" s="346"/>
      <c r="E1767" s="373"/>
      <c r="F1767" s="373"/>
      <c r="G1767" s="126">
        <f>G1768+G1812+G2035+G2173+G2168+G2136</f>
        <v>417425.80793000001</v>
      </c>
      <c r="H1767" s="126">
        <f>H1768+H1812+H2035+H2173+H2168+H2136</f>
        <v>313505.8909</v>
      </c>
      <c r="I1767" s="126">
        <f>I1768+I1812+I2035+I2173+I2168+I2136</f>
        <v>518277.12647999998</v>
      </c>
      <c r="J1767" s="126">
        <f>J1768+J1812+J2035+J2173+J2168+J2136</f>
        <v>313587.8909</v>
      </c>
      <c r="K1767" s="126">
        <f t="shared" si="552"/>
        <v>100851.31854999997</v>
      </c>
      <c r="L1767" s="126">
        <f t="shared" si="553"/>
        <v>82</v>
      </c>
      <c r="M1767" s="217">
        <f t="shared" si="564"/>
        <v>0</v>
      </c>
      <c r="N1767" s="187" t="e">
        <f>N1768+N1812+N2035+N2173</f>
        <v>#REF!</v>
      </c>
      <c r="R1767" s="126">
        <f>R1768+R1812+R2035+R2173+R2168+R2136</f>
        <v>233782.62015999999</v>
      </c>
      <c r="S1767" s="126">
        <f>S1768+S1812+S2035+S2173+S2168+S2136</f>
        <v>149651.97211999999</v>
      </c>
      <c r="T1767" s="217">
        <f t="shared" si="565"/>
        <v>100851.31854999997</v>
      </c>
      <c r="U1767" s="126" t="e">
        <f>U1768+U1812+U2035+U2173+U2168+U2136</f>
        <v>#REF!</v>
      </c>
      <c r="V1767" s="126" t="e">
        <f>V1768+V1812+V2035+V2173+V2168+V2136</f>
        <v>#REF!</v>
      </c>
      <c r="W1767" s="203">
        <f t="shared" si="558"/>
        <v>-100851.31854999997</v>
      </c>
      <c r="X1767" s="203">
        <f t="shared" si="559"/>
        <v>0</v>
      </c>
    </row>
    <row r="1768" spans="1:24" ht="27" hidden="1" customHeight="1" x14ac:dyDescent="0.2">
      <c r="A1768" s="746" t="s">
        <v>156</v>
      </c>
      <c r="B1768" s="306" t="s">
        <v>204</v>
      </c>
      <c r="C1768" s="354" t="s">
        <v>605</v>
      </c>
      <c r="D1768" s="354"/>
      <c r="E1768" s="450"/>
      <c r="F1768" s="450"/>
      <c r="G1768" s="591">
        <f>G1769</f>
        <v>3481.1091099999999</v>
      </c>
      <c r="H1768" s="591">
        <f>H1769</f>
        <v>0</v>
      </c>
      <c r="I1768" s="591">
        <f>I1769</f>
        <v>4596.2679000000007</v>
      </c>
      <c r="J1768" s="591">
        <f>J1769</f>
        <v>82</v>
      </c>
      <c r="K1768" s="591">
        <f t="shared" si="552"/>
        <v>1115.1587900000009</v>
      </c>
      <c r="L1768" s="591">
        <f t="shared" si="553"/>
        <v>82</v>
      </c>
      <c r="M1768" s="217">
        <f t="shared" si="564"/>
        <v>0</v>
      </c>
      <c r="N1768" s="170">
        <f>N1769</f>
        <v>2710.127</v>
      </c>
      <c r="R1768" s="591">
        <f>R1769</f>
        <v>3528.4738200000002</v>
      </c>
      <c r="S1768" s="591">
        <f>S1769</f>
        <v>0</v>
      </c>
      <c r="T1768" s="217">
        <f t="shared" si="565"/>
        <v>1115.1587900000009</v>
      </c>
      <c r="U1768" s="498">
        <f>U1769</f>
        <v>11200.05258</v>
      </c>
      <c r="V1768" s="498">
        <f>V1769</f>
        <v>0</v>
      </c>
      <c r="W1768" s="203">
        <f t="shared" si="558"/>
        <v>-1115.1587900000009</v>
      </c>
      <c r="X1768" s="203">
        <f t="shared" si="559"/>
        <v>0</v>
      </c>
    </row>
    <row r="1769" spans="1:24" ht="33" hidden="1" customHeight="1" x14ac:dyDescent="0.2">
      <c r="A1769" s="746" t="s">
        <v>1738</v>
      </c>
      <c r="B1769" s="306" t="s">
        <v>204</v>
      </c>
      <c r="C1769" s="354" t="s">
        <v>605</v>
      </c>
      <c r="D1769" s="354" t="s">
        <v>620</v>
      </c>
      <c r="E1769" s="450"/>
      <c r="F1769" s="450"/>
      <c r="G1769" s="591">
        <f>G1774+G1770</f>
        <v>3481.1091099999999</v>
      </c>
      <c r="H1769" s="591">
        <f>H1774+H1770</f>
        <v>0</v>
      </c>
      <c r="I1769" s="591">
        <f>I1774+I1770</f>
        <v>4596.2679000000007</v>
      </c>
      <c r="J1769" s="591">
        <f>J1774+J1770</f>
        <v>82</v>
      </c>
      <c r="K1769" s="591">
        <f t="shared" si="552"/>
        <v>1115.1587900000009</v>
      </c>
      <c r="L1769" s="591">
        <f t="shared" si="553"/>
        <v>82</v>
      </c>
      <c r="M1769" s="217">
        <f t="shared" si="564"/>
        <v>0</v>
      </c>
      <c r="N1769" s="170">
        <f>N1774</f>
        <v>2710.127</v>
      </c>
      <c r="R1769" s="591">
        <f>R1774+R1770</f>
        <v>3528.4738200000002</v>
      </c>
      <c r="S1769" s="591">
        <f>S1774+S1770</f>
        <v>0</v>
      </c>
      <c r="T1769" s="217">
        <f t="shared" si="565"/>
        <v>1115.1587900000009</v>
      </c>
      <c r="U1769" s="498">
        <f>U1774</f>
        <v>11200.05258</v>
      </c>
      <c r="V1769" s="498">
        <f>V1774</f>
        <v>0</v>
      </c>
      <c r="W1769" s="203">
        <f t="shared" si="558"/>
        <v>-1115.1587900000009</v>
      </c>
      <c r="X1769" s="203">
        <f t="shared" si="559"/>
        <v>0</v>
      </c>
    </row>
    <row r="1770" spans="1:24" ht="29.25" hidden="1" customHeight="1" x14ac:dyDescent="0.2">
      <c r="A1770" s="541" t="s">
        <v>1605</v>
      </c>
      <c r="B1770" s="306" t="s">
        <v>204</v>
      </c>
      <c r="C1770" s="354" t="s">
        <v>605</v>
      </c>
      <c r="D1770" s="354" t="s">
        <v>620</v>
      </c>
      <c r="E1770" s="545" t="s">
        <v>729</v>
      </c>
      <c r="F1770" s="545"/>
      <c r="G1770" s="498">
        <f t="shared" ref="G1770:J1772" si="567">G1771</f>
        <v>0</v>
      </c>
      <c r="H1770" s="498">
        <f t="shared" si="567"/>
        <v>0</v>
      </c>
      <c r="I1770" s="591">
        <f t="shared" si="567"/>
        <v>0</v>
      </c>
      <c r="J1770" s="591">
        <f t="shared" si="567"/>
        <v>0</v>
      </c>
      <c r="K1770" s="591">
        <f t="shared" si="552"/>
        <v>0</v>
      </c>
      <c r="L1770" s="591">
        <f t="shared" si="553"/>
        <v>0</v>
      </c>
      <c r="M1770" s="217"/>
      <c r="N1770" s="170"/>
      <c r="R1770" s="591">
        <f t="shared" ref="R1770:S1772" si="568">R1771</f>
        <v>50</v>
      </c>
      <c r="S1770" s="591">
        <f t="shared" si="568"/>
        <v>0</v>
      </c>
      <c r="T1770" s="217"/>
      <c r="U1770" s="498"/>
      <c r="V1770" s="498"/>
      <c r="W1770" s="203"/>
      <c r="X1770" s="203"/>
    </row>
    <row r="1771" spans="1:24" ht="23.25" hidden="1" customHeight="1" x14ac:dyDescent="0.2">
      <c r="A1771" s="553" t="s">
        <v>1606</v>
      </c>
      <c r="B1771" s="306" t="s">
        <v>204</v>
      </c>
      <c r="C1771" s="354" t="s">
        <v>605</v>
      </c>
      <c r="D1771" s="354" t="s">
        <v>620</v>
      </c>
      <c r="E1771" s="545">
        <v>8200400000</v>
      </c>
      <c r="F1771" s="545"/>
      <c r="G1771" s="498">
        <f t="shared" si="567"/>
        <v>0</v>
      </c>
      <c r="H1771" s="498">
        <f t="shared" si="567"/>
        <v>0</v>
      </c>
      <c r="I1771" s="591">
        <f t="shared" si="567"/>
        <v>0</v>
      </c>
      <c r="J1771" s="591">
        <f t="shared" si="567"/>
        <v>0</v>
      </c>
      <c r="K1771" s="591">
        <f t="shared" si="552"/>
        <v>0</v>
      </c>
      <c r="L1771" s="591">
        <f t="shared" si="553"/>
        <v>0</v>
      </c>
      <c r="M1771" s="217"/>
      <c r="N1771" s="170"/>
      <c r="R1771" s="591">
        <f t="shared" si="568"/>
        <v>50</v>
      </c>
      <c r="S1771" s="591">
        <f t="shared" si="568"/>
        <v>0</v>
      </c>
      <c r="T1771" s="217"/>
      <c r="U1771" s="498"/>
      <c r="V1771" s="498"/>
      <c r="W1771" s="203"/>
      <c r="X1771" s="203"/>
    </row>
    <row r="1772" spans="1:24" ht="21.75" hidden="1" customHeight="1" x14ac:dyDescent="0.2">
      <c r="A1772" s="541" t="s">
        <v>1607</v>
      </c>
      <c r="B1772" s="306" t="s">
        <v>204</v>
      </c>
      <c r="C1772" s="354" t="s">
        <v>605</v>
      </c>
      <c r="D1772" s="354" t="s">
        <v>620</v>
      </c>
      <c r="E1772" s="545">
        <v>8200482460</v>
      </c>
      <c r="F1772" s="545"/>
      <c r="G1772" s="498">
        <f t="shared" si="567"/>
        <v>0</v>
      </c>
      <c r="H1772" s="498">
        <f t="shared" si="567"/>
        <v>0</v>
      </c>
      <c r="I1772" s="591">
        <f t="shared" si="567"/>
        <v>0</v>
      </c>
      <c r="J1772" s="591">
        <f t="shared" si="567"/>
        <v>0</v>
      </c>
      <c r="K1772" s="591">
        <f t="shared" si="552"/>
        <v>0</v>
      </c>
      <c r="L1772" s="591">
        <f t="shared" si="553"/>
        <v>0</v>
      </c>
      <c r="M1772" s="217"/>
      <c r="N1772" s="170"/>
      <c r="R1772" s="591">
        <f t="shared" si="568"/>
        <v>50</v>
      </c>
      <c r="S1772" s="591">
        <f t="shared" si="568"/>
        <v>0</v>
      </c>
      <c r="T1772" s="217"/>
      <c r="U1772" s="498"/>
      <c r="V1772" s="498"/>
      <c r="W1772" s="203"/>
      <c r="X1772" s="203"/>
    </row>
    <row r="1773" spans="1:24" ht="19.5" hidden="1" customHeight="1" x14ac:dyDescent="0.2">
      <c r="A1773" s="124" t="s">
        <v>1558</v>
      </c>
      <c r="B1773" s="516" t="s">
        <v>204</v>
      </c>
      <c r="C1773" s="517" t="s">
        <v>605</v>
      </c>
      <c r="D1773" s="517" t="s">
        <v>620</v>
      </c>
      <c r="E1773" s="523">
        <v>8200482460</v>
      </c>
      <c r="F1773" s="523">
        <v>244</v>
      </c>
      <c r="G1773" s="519"/>
      <c r="H1773" s="519"/>
      <c r="I1773" s="519"/>
      <c r="J1773" s="519"/>
      <c r="K1773" s="519">
        <f t="shared" si="552"/>
        <v>0</v>
      </c>
      <c r="L1773" s="519">
        <f t="shared" si="553"/>
        <v>0</v>
      </c>
      <c r="M1773" s="217"/>
      <c r="N1773" s="170"/>
      <c r="R1773" s="519">
        <v>50</v>
      </c>
      <c r="S1773" s="519">
        <v>0</v>
      </c>
      <c r="T1773" s="217"/>
      <c r="U1773" s="498"/>
      <c r="V1773" s="498"/>
      <c r="W1773" s="203"/>
      <c r="X1773" s="203"/>
    </row>
    <row r="1774" spans="1:24" ht="18" hidden="1" customHeight="1" x14ac:dyDescent="0.2">
      <c r="A1774" s="746" t="s">
        <v>65</v>
      </c>
      <c r="B1774" s="306" t="s">
        <v>204</v>
      </c>
      <c r="C1774" s="354" t="s">
        <v>605</v>
      </c>
      <c r="D1774" s="354" t="s">
        <v>620</v>
      </c>
      <c r="E1774" s="450" t="s">
        <v>312</v>
      </c>
      <c r="F1774" s="450"/>
      <c r="G1774" s="591">
        <f>G1795+G1807+G1789+G1792+G1783+G1781+G1787+G1804+G1775+G1778</f>
        <v>3481.1091099999999</v>
      </c>
      <c r="H1774" s="591">
        <f t="shared" ref="H1774:L1774" si="569">H1795+H1807+H1789+H1792+H1783+H1781+H1787+H1804+H1775+H1778</f>
        <v>0</v>
      </c>
      <c r="I1774" s="591">
        <f t="shared" si="569"/>
        <v>4596.2679000000007</v>
      </c>
      <c r="J1774" s="591">
        <f t="shared" si="569"/>
        <v>82</v>
      </c>
      <c r="K1774" s="591">
        <f t="shared" si="569"/>
        <v>1115.15879</v>
      </c>
      <c r="L1774" s="591">
        <f t="shared" si="569"/>
        <v>82</v>
      </c>
      <c r="M1774" s="217">
        <f t="shared" si="564"/>
        <v>0</v>
      </c>
      <c r="N1774" s="170">
        <f>N1795+N1807+N1789</f>
        <v>2710.127</v>
      </c>
      <c r="R1774" s="591">
        <f>R1795+R1807+R1789+R1792+R1783+R1781+R1787</f>
        <v>3478.4738200000002</v>
      </c>
      <c r="S1774" s="591">
        <f>S1795+S1807+S1789+S1792+S1783+S1781+S1787</f>
        <v>0</v>
      </c>
      <c r="T1774" s="217">
        <f t="shared" si="565"/>
        <v>1115.1587900000009</v>
      </c>
      <c r="U1774" s="498">
        <f>U1795+U1807+U1789+U1792+U1783+U1781</f>
        <v>11200.05258</v>
      </c>
      <c r="V1774" s="498">
        <f>V1795+V1807+V1789+V1792+V1783+V1781</f>
        <v>0</v>
      </c>
      <c r="W1774" s="203">
        <f t="shared" si="558"/>
        <v>-1115.1587900000009</v>
      </c>
      <c r="X1774" s="203">
        <f t="shared" si="559"/>
        <v>0</v>
      </c>
    </row>
    <row r="1775" spans="1:24" ht="18" customHeight="1" x14ac:dyDescent="0.2">
      <c r="A1775" s="746" t="s">
        <v>2005</v>
      </c>
      <c r="B1775" s="306" t="s">
        <v>204</v>
      </c>
      <c r="C1775" s="354" t="s">
        <v>605</v>
      </c>
      <c r="D1775" s="354" t="s">
        <v>620</v>
      </c>
      <c r="E1775" s="697">
        <v>9990023680</v>
      </c>
      <c r="F1775" s="697"/>
      <c r="G1775" s="591">
        <f>G1776+G1777</f>
        <v>0</v>
      </c>
      <c r="H1775" s="591">
        <f t="shared" ref="H1775:L1775" si="570">H1776+H1777</f>
        <v>0</v>
      </c>
      <c r="I1775" s="591">
        <f t="shared" si="570"/>
        <v>572.12801000000002</v>
      </c>
      <c r="J1775" s="591">
        <f t="shared" si="570"/>
        <v>0</v>
      </c>
      <c r="K1775" s="591">
        <f t="shared" si="570"/>
        <v>572.12801000000002</v>
      </c>
      <c r="L1775" s="591">
        <f t="shared" si="570"/>
        <v>0</v>
      </c>
      <c r="M1775" s="217"/>
      <c r="N1775" s="170"/>
      <c r="R1775" s="591"/>
      <c r="S1775" s="591"/>
      <c r="T1775" s="217"/>
      <c r="U1775" s="591"/>
      <c r="V1775" s="591"/>
      <c r="W1775" s="203"/>
      <c r="X1775" s="203"/>
    </row>
    <row r="1776" spans="1:24" ht="18" customHeight="1" x14ac:dyDescent="0.2">
      <c r="A1776" s="744" t="s">
        <v>2006</v>
      </c>
      <c r="B1776" s="243" t="s">
        <v>204</v>
      </c>
      <c r="C1776" s="353" t="s">
        <v>605</v>
      </c>
      <c r="D1776" s="353" t="s">
        <v>620</v>
      </c>
      <c r="E1776" s="369">
        <v>9990023680</v>
      </c>
      <c r="F1776" s="369">
        <v>111</v>
      </c>
      <c r="G1776" s="288"/>
      <c r="H1776" s="288"/>
      <c r="I1776" s="288">
        <v>439.84093000000001</v>
      </c>
      <c r="J1776" s="288"/>
      <c r="K1776" s="43">
        <f t="shared" ref="K1776:K1777" si="571">I1776-G1776</f>
        <v>439.84093000000001</v>
      </c>
      <c r="L1776" s="43">
        <f t="shared" ref="L1776:L1777" si="572">J1776-H1776</f>
        <v>0</v>
      </c>
      <c r="M1776" s="217"/>
      <c r="N1776" s="170"/>
      <c r="R1776" s="591"/>
      <c r="S1776" s="591"/>
      <c r="T1776" s="217"/>
      <c r="U1776" s="591"/>
      <c r="V1776" s="591"/>
      <c r="W1776" s="203"/>
      <c r="X1776" s="203"/>
    </row>
    <row r="1777" spans="1:24" ht="18" customHeight="1" x14ac:dyDescent="0.2">
      <c r="A1777" s="744" t="s">
        <v>2007</v>
      </c>
      <c r="B1777" s="243" t="s">
        <v>204</v>
      </c>
      <c r="C1777" s="353" t="s">
        <v>605</v>
      </c>
      <c r="D1777" s="353" t="s">
        <v>620</v>
      </c>
      <c r="E1777" s="369">
        <v>9990023680</v>
      </c>
      <c r="F1777" s="369">
        <v>119</v>
      </c>
      <c r="G1777" s="288"/>
      <c r="H1777" s="288"/>
      <c r="I1777" s="288">
        <v>132.28708</v>
      </c>
      <c r="J1777" s="288"/>
      <c r="K1777" s="43">
        <f t="shared" si="571"/>
        <v>132.28708</v>
      </c>
      <c r="L1777" s="43">
        <f t="shared" si="572"/>
        <v>0</v>
      </c>
      <c r="M1777" s="217"/>
      <c r="N1777" s="170"/>
      <c r="R1777" s="591"/>
      <c r="S1777" s="591"/>
      <c r="T1777" s="217"/>
      <c r="U1777" s="591"/>
      <c r="V1777" s="591"/>
      <c r="W1777" s="203"/>
      <c r="X1777" s="203"/>
    </row>
    <row r="1778" spans="1:24" ht="18" customHeight="1" x14ac:dyDescent="0.2">
      <c r="A1778" s="746" t="s">
        <v>2002</v>
      </c>
      <c r="B1778" s="306" t="s">
        <v>204</v>
      </c>
      <c r="C1778" s="354" t="s">
        <v>605</v>
      </c>
      <c r="D1778" s="354" t="s">
        <v>620</v>
      </c>
      <c r="E1778" s="697">
        <v>9990055493</v>
      </c>
      <c r="F1778" s="697"/>
      <c r="G1778" s="591">
        <f>G1779+G1780</f>
        <v>0</v>
      </c>
      <c r="H1778" s="591">
        <f t="shared" ref="H1778" si="573">H1779+H1780</f>
        <v>0</v>
      </c>
      <c r="I1778" s="591">
        <f t="shared" ref="I1778" si="574">I1779+I1780</f>
        <v>82</v>
      </c>
      <c r="J1778" s="591">
        <f t="shared" ref="J1778" si="575">J1779+J1780</f>
        <v>82</v>
      </c>
      <c r="K1778" s="591">
        <f t="shared" ref="K1778" si="576">K1779+K1780</f>
        <v>82</v>
      </c>
      <c r="L1778" s="591">
        <f t="shared" ref="L1778" si="577">L1779+L1780</f>
        <v>82</v>
      </c>
      <c r="M1778" s="217"/>
      <c r="N1778" s="170"/>
      <c r="R1778" s="591"/>
      <c r="S1778" s="591"/>
      <c r="T1778" s="217"/>
      <c r="U1778" s="591"/>
      <c r="V1778" s="591"/>
      <c r="W1778" s="203"/>
      <c r="X1778" s="203"/>
    </row>
    <row r="1779" spans="1:24" ht="18" customHeight="1" x14ac:dyDescent="0.2">
      <c r="A1779" s="744" t="s">
        <v>1576</v>
      </c>
      <c r="B1779" s="243" t="s">
        <v>204</v>
      </c>
      <c r="C1779" s="353" t="s">
        <v>605</v>
      </c>
      <c r="D1779" s="353" t="s">
        <v>620</v>
      </c>
      <c r="E1779" s="369">
        <v>9990055493</v>
      </c>
      <c r="F1779" s="369">
        <v>121</v>
      </c>
      <c r="G1779" s="288"/>
      <c r="H1779" s="288"/>
      <c r="I1779" s="288">
        <v>62.980029999999999</v>
      </c>
      <c r="J1779" s="288">
        <v>62.980029999999999</v>
      </c>
      <c r="K1779" s="43">
        <f t="shared" ref="K1779:K1780" si="578">I1779-G1779</f>
        <v>62.980029999999999</v>
      </c>
      <c r="L1779" s="43">
        <f t="shared" ref="L1779:L1780" si="579">J1779-H1779</f>
        <v>62.980029999999999</v>
      </c>
      <c r="M1779" s="217"/>
      <c r="N1779" s="170"/>
      <c r="R1779" s="591"/>
      <c r="S1779" s="591"/>
      <c r="T1779" s="217"/>
      <c r="U1779" s="591"/>
      <c r="V1779" s="591"/>
      <c r="W1779" s="203"/>
      <c r="X1779" s="203"/>
    </row>
    <row r="1780" spans="1:24" ht="18" customHeight="1" x14ac:dyDescent="0.2">
      <c r="A1780" s="744" t="s">
        <v>1578</v>
      </c>
      <c r="B1780" s="243" t="s">
        <v>204</v>
      </c>
      <c r="C1780" s="353" t="s">
        <v>605</v>
      </c>
      <c r="D1780" s="353" t="s">
        <v>620</v>
      </c>
      <c r="E1780" s="369">
        <v>9990055493</v>
      </c>
      <c r="F1780" s="369">
        <v>129</v>
      </c>
      <c r="G1780" s="288"/>
      <c r="H1780" s="288"/>
      <c r="I1780" s="288">
        <v>19.019970000000001</v>
      </c>
      <c r="J1780" s="288">
        <v>19.019970000000001</v>
      </c>
      <c r="K1780" s="43">
        <f t="shared" si="578"/>
        <v>19.019970000000001</v>
      </c>
      <c r="L1780" s="43">
        <f t="shared" si="579"/>
        <v>19.019970000000001</v>
      </c>
      <c r="M1780" s="217"/>
      <c r="N1780" s="170"/>
      <c r="R1780" s="591"/>
      <c r="S1780" s="591"/>
      <c r="T1780" s="217"/>
      <c r="U1780" s="591"/>
      <c r="V1780" s="591"/>
      <c r="W1780" s="203"/>
      <c r="X1780" s="203"/>
    </row>
    <row r="1781" spans="1:24" ht="15.75" customHeight="1" x14ac:dyDescent="0.2">
      <c r="A1781" s="741" t="s">
        <v>976</v>
      </c>
      <c r="B1781" s="363">
        <v>961</v>
      </c>
      <c r="C1781" s="354" t="s">
        <v>605</v>
      </c>
      <c r="D1781" s="354" t="s">
        <v>620</v>
      </c>
      <c r="E1781" s="390">
        <v>9990082090</v>
      </c>
      <c r="F1781" s="450"/>
      <c r="G1781" s="591">
        <f>G1782</f>
        <v>38.652070000000002</v>
      </c>
      <c r="H1781" s="591">
        <f>H1782</f>
        <v>0</v>
      </c>
      <c r="I1781" s="591">
        <f>I1782</f>
        <v>38.652070000000002</v>
      </c>
      <c r="J1781" s="591">
        <f>J1782</f>
        <v>0</v>
      </c>
      <c r="K1781" s="591">
        <f t="shared" si="552"/>
        <v>0</v>
      </c>
      <c r="L1781" s="591">
        <f t="shared" si="553"/>
        <v>0</v>
      </c>
      <c r="M1781" s="217">
        <f t="shared" si="564"/>
        <v>0</v>
      </c>
      <c r="N1781" s="170"/>
      <c r="R1781" s="591">
        <f>R1782</f>
        <v>0</v>
      </c>
      <c r="S1781" s="591">
        <f>S1782</f>
        <v>0</v>
      </c>
      <c r="T1781" s="217"/>
      <c r="U1781" s="498">
        <f t="shared" ref="U1781:V1783" si="580">U1782</f>
        <v>6990.0229200000003</v>
      </c>
      <c r="V1781" s="498">
        <f t="shared" si="580"/>
        <v>0</v>
      </c>
      <c r="W1781" s="203"/>
      <c r="X1781" s="203"/>
    </row>
    <row r="1782" spans="1:24" ht="13.5" customHeight="1" x14ac:dyDescent="0.2">
      <c r="A1782" s="739" t="s">
        <v>233</v>
      </c>
      <c r="B1782" s="364">
        <v>961</v>
      </c>
      <c r="C1782" s="353" t="s">
        <v>605</v>
      </c>
      <c r="D1782" s="353" t="s">
        <v>620</v>
      </c>
      <c r="E1782" s="369">
        <v>9990082090</v>
      </c>
      <c r="F1782" s="369">
        <v>242</v>
      </c>
      <c r="G1782" s="288">
        <v>38.652070000000002</v>
      </c>
      <c r="H1782" s="288"/>
      <c r="I1782" s="288">
        <v>38.652070000000002</v>
      </c>
      <c r="J1782" s="288"/>
      <c r="K1782" s="43">
        <f t="shared" si="552"/>
        <v>0</v>
      </c>
      <c r="L1782" s="43">
        <f t="shared" si="553"/>
        <v>0</v>
      </c>
      <c r="M1782" s="217">
        <f t="shared" si="564"/>
        <v>0</v>
      </c>
      <c r="N1782" s="170"/>
      <c r="R1782" s="288"/>
      <c r="S1782" s="288"/>
      <c r="T1782" s="217"/>
      <c r="U1782" s="288">
        <f>2347.39264+4906.5-263.86972</f>
        <v>6990.0229200000003</v>
      </c>
      <c r="V1782" s="288">
        <v>0</v>
      </c>
      <c r="W1782" s="203"/>
      <c r="X1782" s="203"/>
    </row>
    <row r="1783" spans="1:24" ht="24" hidden="1" customHeight="1" x14ac:dyDescent="0.2">
      <c r="A1783" s="746" t="s">
        <v>49</v>
      </c>
      <c r="B1783" s="306" t="s">
        <v>204</v>
      </c>
      <c r="C1783" s="354" t="s">
        <v>605</v>
      </c>
      <c r="D1783" s="354" t="s">
        <v>620</v>
      </c>
      <c r="E1783" s="450" t="s">
        <v>879</v>
      </c>
      <c r="F1783" s="450"/>
      <c r="G1783" s="591">
        <f>SUBTOTAL(9,G1784:G1786)</f>
        <v>581.63493000000005</v>
      </c>
      <c r="H1783" s="591">
        <f>SUBTOTAL(9,H1784:H1786)</f>
        <v>0</v>
      </c>
      <c r="I1783" s="591">
        <f>SUBTOTAL(9,I1784:I1786)</f>
        <v>290.32443000000001</v>
      </c>
      <c r="J1783" s="591">
        <f>SUBTOTAL(9,J1784:J1786)</f>
        <v>0</v>
      </c>
      <c r="K1783" s="591">
        <f t="shared" si="552"/>
        <v>-291.31050000000005</v>
      </c>
      <c r="L1783" s="591">
        <f t="shared" si="553"/>
        <v>0</v>
      </c>
      <c r="M1783" s="217">
        <f t="shared" si="564"/>
        <v>0</v>
      </c>
      <c r="N1783" s="171"/>
      <c r="R1783" s="591">
        <f>SUBTOTAL(9,R1784:R1786)</f>
        <v>511.37698999999998</v>
      </c>
      <c r="S1783" s="591">
        <f>SUBTOTAL(9,S1784:S1786)</f>
        <v>0</v>
      </c>
      <c r="T1783" s="217"/>
      <c r="U1783" s="498">
        <f t="shared" si="580"/>
        <v>137.27166</v>
      </c>
      <c r="V1783" s="498">
        <f t="shared" si="580"/>
        <v>0</v>
      </c>
      <c r="W1783" s="203">
        <f t="shared" si="558"/>
        <v>291.31050000000005</v>
      </c>
      <c r="X1783" s="203">
        <f t="shared" si="559"/>
        <v>0</v>
      </c>
    </row>
    <row r="1784" spans="1:24" ht="23.25" customHeight="1" x14ac:dyDescent="0.2">
      <c r="A1784" s="744" t="s">
        <v>834</v>
      </c>
      <c r="B1784" s="243" t="s">
        <v>204</v>
      </c>
      <c r="C1784" s="353" t="s">
        <v>605</v>
      </c>
      <c r="D1784" s="353" t="s">
        <v>620</v>
      </c>
      <c r="E1784" s="369" t="s">
        <v>879</v>
      </c>
      <c r="F1784" s="369" t="s">
        <v>634</v>
      </c>
      <c r="G1784" s="288">
        <v>570.63493000000005</v>
      </c>
      <c r="H1784" s="288"/>
      <c r="I1784" s="288">
        <v>279.32443000000001</v>
      </c>
      <c r="J1784" s="288"/>
      <c r="K1784" s="43">
        <f t="shared" si="552"/>
        <v>-291.31050000000005</v>
      </c>
      <c r="L1784" s="43">
        <f t="shared" si="553"/>
        <v>0</v>
      </c>
      <c r="M1784" s="217">
        <f t="shared" si="564"/>
        <v>0</v>
      </c>
      <c r="N1784" s="171"/>
      <c r="R1784" s="288">
        <v>223.07699</v>
      </c>
      <c r="S1784" s="288"/>
      <c r="T1784" s="217"/>
      <c r="U1784" s="288">
        <v>137.27166</v>
      </c>
      <c r="V1784" s="288">
        <v>0</v>
      </c>
      <c r="W1784" s="203">
        <f t="shared" si="558"/>
        <v>291.31050000000005</v>
      </c>
      <c r="X1784" s="203">
        <f t="shared" si="559"/>
        <v>0</v>
      </c>
    </row>
    <row r="1785" spans="1:24" ht="14.25" customHeight="1" x14ac:dyDescent="0.2">
      <c r="A1785" s="744" t="s">
        <v>837</v>
      </c>
      <c r="B1785" s="243" t="s">
        <v>204</v>
      </c>
      <c r="C1785" s="353" t="s">
        <v>605</v>
      </c>
      <c r="D1785" s="353" t="s">
        <v>620</v>
      </c>
      <c r="E1785" s="369" t="s">
        <v>879</v>
      </c>
      <c r="F1785" s="369">
        <v>852</v>
      </c>
      <c r="G1785" s="288">
        <v>11</v>
      </c>
      <c r="H1785" s="288"/>
      <c r="I1785" s="288">
        <v>11</v>
      </c>
      <c r="J1785" s="288"/>
      <c r="K1785" s="43">
        <f t="shared" si="552"/>
        <v>0</v>
      </c>
      <c r="L1785" s="43">
        <f t="shared" si="553"/>
        <v>0</v>
      </c>
      <c r="M1785" s="217"/>
      <c r="N1785" s="171"/>
      <c r="R1785" s="288">
        <v>288.3</v>
      </c>
      <c r="S1785" s="288"/>
      <c r="T1785" s="217"/>
      <c r="U1785" s="288"/>
      <c r="V1785" s="288"/>
      <c r="W1785" s="203"/>
      <c r="X1785" s="203"/>
    </row>
    <row r="1786" spans="1:24" ht="18.75" hidden="1" customHeight="1" x14ac:dyDescent="0.2">
      <c r="A1786" s="124" t="s">
        <v>1581</v>
      </c>
      <c r="B1786" s="243" t="s">
        <v>204</v>
      </c>
      <c r="C1786" s="353" t="s">
        <v>605</v>
      </c>
      <c r="D1786" s="353" t="s">
        <v>620</v>
      </c>
      <c r="E1786" s="369" t="s">
        <v>879</v>
      </c>
      <c r="F1786" s="369">
        <v>853</v>
      </c>
      <c r="G1786" s="288"/>
      <c r="H1786" s="288"/>
      <c r="I1786" s="288"/>
      <c r="J1786" s="288"/>
      <c r="K1786" s="43">
        <f t="shared" si="552"/>
        <v>0</v>
      </c>
      <c r="L1786" s="43">
        <f t="shared" si="553"/>
        <v>0</v>
      </c>
      <c r="M1786" s="217"/>
      <c r="N1786" s="171"/>
      <c r="R1786" s="288">
        <v>200</v>
      </c>
      <c r="S1786" s="288"/>
      <c r="T1786" s="217"/>
      <c r="U1786" s="288"/>
      <c r="V1786" s="288"/>
      <c r="W1786" s="203"/>
      <c r="X1786" s="203"/>
    </row>
    <row r="1787" spans="1:24" ht="15.75" hidden="1" customHeight="1" x14ac:dyDescent="0.2">
      <c r="A1787" s="598" t="s">
        <v>1532</v>
      </c>
      <c r="B1787" s="306" t="s">
        <v>204</v>
      </c>
      <c r="C1787" s="354" t="s">
        <v>605</v>
      </c>
      <c r="D1787" s="354" t="s">
        <v>620</v>
      </c>
      <c r="E1787" s="599">
        <v>9990082940</v>
      </c>
      <c r="F1787" s="599"/>
      <c r="G1787" s="591">
        <f>G1788</f>
        <v>0</v>
      </c>
      <c r="H1787" s="591">
        <f>H1788</f>
        <v>0</v>
      </c>
      <c r="I1787" s="591">
        <f>I1788</f>
        <v>0</v>
      </c>
      <c r="J1787" s="591">
        <f>J1788</f>
        <v>0</v>
      </c>
      <c r="K1787" s="591">
        <f t="shared" si="552"/>
        <v>0</v>
      </c>
      <c r="L1787" s="591">
        <f t="shared" si="553"/>
        <v>0</v>
      </c>
      <c r="M1787" s="217"/>
      <c r="N1787" s="171"/>
      <c r="R1787" s="591">
        <f>R1788</f>
        <v>100</v>
      </c>
      <c r="S1787" s="591">
        <f>S1788</f>
        <v>0</v>
      </c>
      <c r="T1787" s="217"/>
      <c r="U1787" s="288"/>
      <c r="V1787" s="288"/>
      <c r="W1787" s="203"/>
      <c r="X1787" s="203"/>
    </row>
    <row r="1788" spans="1:24" ht="24.75" hidden="1" customHeight="1" x14ac:dyDescent="0.2">
      <c r="A1788" s="124" t="s">
        <v>1558</v>
      </c>
      <c r="B1788" s="243" t="s">
        <v>204</v>
      </c>
      <c r="C1788" s="353" t="s">
        <v>605</v>
      </c>
      <c r="D1788" s="353" t="s">
        <v>620</v>
      </c>
      <c r="E1788" s="369" t="s">
        <v>879</v>
      </c>
      <c r="F1788" s="369" t="s">
        <v>634</v>
      </c>
      <c r="G1788" s="288"/>
      <c r="H1788" s="288"/>
      <c r="I1788" s="288"/>
      <c r="J1788" s="288"/>
      <c r="K1788" s="43">
        <f t="shared" si="552"/>
        <v>0</v>
      </c>
      <c r="L1788" s="43">
        <f t="shared" si="553"/>
        <v>0</v>
      </c>
      <c r="M1788" s="217"/>
      <c r="N1788" s="171"/>
      <c r="R1788" s="288">
        <v>100</v>
      </c>
      <c r="S1788" s="288"/>
      <c r="T1788" s="217"/>
      <c r="U1788" s="288"/>
      <c r="V1788" s="288"/>
      <c r="W1788" s="203"/>
      <c r="X1788" s="203"/>
    </row>
    <row r="1789" spans="1:24" ht="15.75" hidden="1" customHeight="1" x14ac:dyDescent="0.2">
      <c r="A1789" s="451" t="s">
        <v>1601</v>
      </c>
      <c r="B1789" s="306" t="s">
        <v>204</v>
      </c>
      <c r="C1789" s="354" t="s">
        <v>605</v>
      </c>
      <c r="D1789" s="354" t="s">
        <v>620</v>
      </c>
      <c r="E1789" s="450">
        <v>9990086020</v>
      </c>
      <c r="F1789" s="450"/>
      <c r="G1789" s="591">
        <f>G1790+G1791</f>
        <v>0</v>
      </c>
      <c r="H1789" s="498">
        <f>H1790+H1791</f>
        <v>0</v>
      </c>
      <c r="I1789" s="591">
        <f>I1790+I1791</f>
        <v>0</v>
      </c>
      <c r="J1789" s="591">
        <f>J1790+J1791</f>
        <v>0</v>
      </c>
      <c r="K1789" s="591">
        <f t="shared" si="552"/>
        <v>0</v>
      </c>
      <c r="L1789" s="591">
        <f t="shared" si="553"/>
        <v>0</v>
      </c>
      <c r="M1789" s="217">
        <f t="shared" si="564"/>
        <v>0</v>
      </c>
      <c r="N1789" s="170">
        <f>N1790</f>
        <v>91.6</v>
      </c>
      <c r="R1789" s="591">
        <f>R1790+R1791</f>
        <v>50</v>
      </c>
      <c r="S1789" s="591">
        <f>S1790+S1791</f>
        <v>0</v>
      </c>
      <c r="T1789" s="217">
        <f>I1789-G1789</f>
        <v>0</v>
      </c>
      <c r="U1789" s="498">
        <f>U1790+U1791</f>
        <v>6</v>
      </c>
      <c r="V1789" s="498">
        <f>V1790+V1791</f>
        <v>0</v>
      </c>
      <c r="W1789" s="203">
        <f t="shared" si="558"/>
        <v>0</v>
      </c>
      <c r="X1789" s="203">
        <f t="shared" si="559"/>
        <v>0</v>
      </c>
    </row>
    <row r="1790" spans="1:24" ht="24" hidden="1" customHeight="1" x14ac:dyDescent="0.2">
      <c r="A1790" s="124" t="s">
        <v>1558</v>
      </c>
      <c r="B1790" s="243" t="s">
        <v>204</v>
      </c>
      <c r="C1790" s="353" t="s">
        <v>605</v>
      </c>
      <c r="D1790" s="353" t="s">
        <v>620</v>
      </c>
      <c r="E1790" s="369">
        <v>9990086020</v>
      </c>
      <c r="F1790" s="369">
        <v>244</v>
      </c>
      <c r="G1790" s="130"/>
      <c r="H1790" s="288"/>
      <c r="I1790" s="130"/>
      <c r="J1790" s="288"/>
      <c r="K1790" s="43">
        <f t="shared" si="552"/>
        <v>0</v>
      </c>
      <c r="L1790" s="43">
        <f t="shared" si="553"/>
        <v>0</v>
      </c>
      <c r="M1790" s="217">
        <f t="shared" si="564"/>
        <v>0</v>
      </c>
      <c r="N1790" s="171">
        <v>91.6</v>
      </c>
      <c r="R1790" s="130">
        <v>50</v>
      </c>
      <c r="S1790" s="288"/>
      <c r="T1790" s="217">
        <f>I1790-G1790</f>
        <v>0</v>
      </c>
      <c r="U1790" s="130">
        <v>4.6082900000000002</v>
      </c>
      <c r="V1790" s="288">
        <v>0</v>
      </c>
      <c r="W1790" s="203">
        <f t="shared" si="558"/>
        <v>0</v>
      </c>
      <c r="X1790" s="203">
        <f t="shared" si="559"/>
        <v>0</v>
      </c>
    </row>
    <row r="1791" spans="1:24" ht="18" hidden="1" customHeight="1" x14ac:dyDescent="0.2">
      <c r="A1791" s="124" t="s">
        <v>1543</v>
      </c>
      <c r="B1791" s="243" t="s">
        <v>204</v>
      </c>
      <c r="C1791" s="353" t="s">
        <v>605</v>
      </c>
      <c r="D1791" s="353" t="s">
        <v>620</v>
      </c>
      <c r="E1791" s="369" t="s">
        <v>1032</v>
      </c>
      <c r="F1791" s="369" t="s">
        <v>524</v>
      </c>
      <c r="G1791" s="130">
        <v>0</v>
      </c>
      <c r="H1791" s="288"/>
      <c r="I1791" s="130">
        <v>0</v>
      </c>
      <c r="J1791" s="288"/>
      <c r="K1791" s="43">
        <f t="shared" si="552"/>
        <v>0</v>
      </c>
      <c r="L1791" s="43">
        <f t="shared" si="553"/>
        <v>0</v>
      </c>
      <c r="M1791" s="217">
        <f t="shared" si="564"/>
        <v>0</v>
      </c>
      <c r="N1791" s="171"/>
      <c r="R1791" s="130">
        <v>0</v>
      </c>
      <c r="S1791" s="288"/>
      <c r="T1791" s="217"/>
      <c r="U1791" s="130">
        <v>1.39171</v>
      </c>
      <c r="V1791" s="288">
        <v>0</v>
      </c>
      <c r="W1791" s="203">
        <f t="shared" si="558"/>
        <v>0</v>
      </c>
      <c r="X1791" s="203">
        <f t="shared" si="559"/>
        <v>0</v>
      </c>
    </row>
    <row r="1792" spans="1:24" ht="16.5" hidden="1" customHeight="1" x14ac:dyDescent="0.2">
      <c r="A1792" s="451" t="s">
        <v>1543</v>
      </c>
      <c r="B1792" s="306" t="s">
        <v>204</v>
      </c>
      <c r="C1792" s="354" t="s">
        <v>605</v>
      </c>
      <c r="D1792" s="354" t="s">
        <v>620</v>
      </c>
      <c r="E1792" s="450" t="s">
        <v>1034</v>
      </c>
      <c r="F1792" s="450"/>
      <c r="G1792" s="498">
        <f>G1793+G1794</f>
        <v>0</v>
      </c>
      <c r="H1792" s="498">
        <f>H1793+H1794</f>
        <v>0</v>
      </c>
      <c r="I1792" s="591">
        <f>I1793+I1794</f>
        <v>0</v>
      </c>
      <c r="J1792" s="591">
        <f>J1793+J1794</f>
        <v>0</v>
      </c>
      <c r="K1792" s="591">
        <f t="shared" ref="K1792:K1857" si="581">I1792-G1792</f>
        <v>0</v>
      </c>
      <c r="L1792" s="591">
        <f t="shared" ref="L1792:L1857" si="582">J1792-H1792</f>
        <v>0</v>
      </c>
      <c r="M1792" s="217">
        <f t="shared" si="564"/>
        <v>0</v>
      </c>
      <c r="N1792" s="171"/>
      <c r="R1792" s="591">
        <f>R1793+R1794</f>
        <v>0</v>
      </c>
      <c r="S1792" s="591">
        <f>S1793+S1794</f>
        <v>0</v>
      </c>
      <c r="T1792" s="217"/>
      <c r="U1792" s="498">
        <f>U1793+U1794</f>
        <v>132</v>
      </c>
      <c r="V1792" s="498">
        <f>V1793+V1794</f>
        <v>0</v>
      </c>
      <c r="W1792" s="203">
        <f t="shared" si="558"/>
        <v>0</v>
      </c>
      <c r="X1792" s="203">
        <f t="shared" si="559"/>
        <v>0</v>
      </c>
    </row>
    <row r="1793" spans="1:24" ht="18.75" hidden="1" customHeight="1" x14ac:dyDescent="0.2">
      <c r="A1793" s="124" t="s">
        <v>1543</v>
      </c>
      <c r="B1793" s="243" t="s">
        <v>204</v>
      </c>
      <c r="C1793" s="353" t="s">
        <v>605</v>
      </c>
      <c r="D1793" s="353" t="s">
        <v>620</v>
      </c>
      <c r="E1793" s="369" t="s">
        <v>1034</v>
      </c>
      <c r="F1793" s="369" t="s">
        <v>129</v>
      </c>
      <c r="G1793" s="288"/>
      <c r="H1793" s="288"/>
      <c r="I1793" s="288"/>
      <c r="J1793" s="288"/>
      <c r="K1793" s="43">
        <f t="shared" si="581"/>
        <v>0</v>
      </c>
      <c r="L1793" s="43">
        <f t="shared" si="582"/>
        <v>0</v>
      </c>
      <c r="M1793" s="217">
        <f t="shared" si="564"/>
        <v>0</v>
      </c>
      <c r="N1793" s="171"/>
      <c r="R1793" s="288"/>
      <c r="S1793" s="288"/>
      <c r="T1793" s="217"/>
      <c r="U1793" s="288">
        <v>101.38249</v>
      </c>
      <c r="V1793" s="288">
        <v>0</v>
      </c>
      <c r="W1793" s="203">
        <f t="shared" si="558"/>
        <v>0</v>
      </c>
      <c r="X1793" s="203">
        <f t="shared" si="559"/>
        <v>0</v>
      </c>
    </row>
    <row r="1794" spans="1:24" ht="15" hidden="1" customHeight="1" x14ac:dyDescent="0.2">
      <c r="A1794" s="124" t="s">
        <v>1543</v>
      </c>
      <c r="B1794" s="243" t="s">
        <v>204</v>
      </c>
      <c r="C1794" s="353" t="s">
        <v>605</v>
      </c>
      <c r="D1794" s="353" t="s">
        <v>620</v>
      </c>
      <c r="E1794" s="369" t="s">
        <v>1034</v>
      </c>
      <c r="F1794" s="369" t="s">
        <v>524</v>
      </c>
      <c r="G1794" s="288"/>
      <c r="H1794" s="288"/>
      <c r="I1794" s="288"/>
      <c r="J1794" s="288"/>
      <c r="K1794" s="43">
        <f t="shared" si="581"/>
        <v>0</v>
      </c>
      <c r="L1794" s="43">
        <f t="shared" si="582"/>
        <v>0</v>
      </c>
      <c r="M1794" s="217">
        <f t="shared" si="564"/>
        <v>0</v>
      </c>
      <c r="N1794" s="171"/>
      <c r="R1794" s="288"/>
      <c r="S1794" s="288"/>
      <c r="T1794" s="217"/>
      <c r="U1794" s="288">
        <v>30.617509999999999</v>
      </c>
      <c r="V1794" s="288">
        <v>0</v>
      </c>
      <c r="W1794" s="203">
        <f t="shared" si="558"/>
        <v>0</v>
      </c>
      <c r="X1794" s="203">
        <f t="shared" si="559"/>
        <v>0</v>
      </c>
    </row>
    <row r="1795" spans="1:24" ht="15" x14ac:dyDescent="0.2">
      <c r="A1795" s="746" t="s">
        <v>643</v>
      </c>
      <c r="B1795" s="306" t="s">
        <v>204</v>
      </c>
      <c r="C1795" s="354" t="s">
        <v>605</v>
      </c>
      <c r="D1795" s="354" t="s">
        <v>620</v>
      </c>
      <c r="E1795" s="450" t="s">
        <v>522</v>
      </c>
      <c r="F1795" s="450"/>
      <c r="G1795" s="591">
        <f>SUM(G1796:G1803)</f>
        <v>1074.03711</v>
      </c>
      <c r="H1795" s="591">
        <f>SUM(H1796:H1803)</f>
        <v>0</v>
      </c>
      <c r="I1795" s="591">
        <f>SUM(I1796:I1803)</f>
        <v>783.95462999999995</v>
      </c>
      <c r="J1795" s="591">
        <f>SUM(J1796:J1803)</f>
        <v>0</v>
      </c>
      <c r="K1795" s="591">
        <f t="shared" si="581"/>
        <v>-290.08248000000003</v>
      </c>
      <c r="L1795" s="591">
        <f t="shared" si="582"/>
        <v>0</v>
      </c>
      <c r="M1795" s="217">
        <f t="shared" si="564"/>
        <v>0</v>
      </c>
      <c r="N1795" s="170">
        <f>SUM(N1796:N1803)</f>
        <v>2618.527</v>
      </c>
      <c r="P1795" s="166">
        <f>G1797+G1799++G1784+G1800+G1803</f>
        <v>598.23493000000008</v>
      </c>
      <c r="R1795" s="591">
        <f>SUM(R1796:R1803)</f>
        <v>1341.01983</v>
      </c>
      <c r="S1795" s="591">
        <f>SUM(S1796:S1803)</f>
        <v>0</v>
      </c>
      <c r="T1795" s="217">
        <f t="shared" ref="T1795:T1820" si="583">I1795-G1795</f>
        <v>-290.08248000000003</v>
      </c>
      <c r="U1795" s="498">
        <f>SUM(U1796:U1803)</f>
        <v>3160.8380000000002</v>
      </c>
      <c r="V1795" s="498">
        <f>SUM(V1796:V1803)</f>
        <v>0</v>
      </c>
      <c r="W1795" s="203">
        <f t="shared" si="558"/>
        <v>290.08248000000003</v>
      </c>
      <c r="X1795" s="203">
        <f t="shared" si="559"/>
        <v>0</v>
      </c>
    </row>
    <row r="1796" spans="1:24" ht="15" x14ac:dyDescent="0.2">
      <c r="A1796" s="744" t="s">
        <v>529</v>
      </c>
      <c r="B1796" s="243" t="s">
        <v>204</v>
      </c>
      <c r="C1796" s="353" t="s">
        <v>605</v>
      </c>
      <c r="D1796" s="353" t="s">
        <v>620</v>
      </c>
      <c r="E1796" s="369" t="s">
        <v>522</v>
      </c>
      <c r="F1796" s="369" t="s">
        <v>129</v>
      </c>
      <c r="G1796" s="288">
        <v>803.71504000000004</v>
      </c>
      <c r="H1796" s="288"/>
      <c r="I1796" s="288">
        <v>605.76509999999996</v>
      </c>
      <c r="J1796" s="288"/>
      <c r="K1796" s="43">
        <f t="shared" si="581"/>
        <v>-197.94994000000008</v>
      </c>
      <c r="L1796" s="43">
        <f t="shared" si="582"/>
        <v>0</v>
      </c>
      <c r="M1796" s="217">
        <f t="shared" si="564"/>
        <v>0</v>
      </c>
      <c r="N1796" s="171">
        <v>1973.7070000000001</v>
      </c>
      <c r="P1796" s="171">
        <v>1911.86</v>
      </c>
      <c r="Q1796" s="245"/>
      <c r="R1796" s="288">
        <v>1002.35015</v>
      </c>
      <c r="S1796" s="288"/>
      <c r="T1796" s="217">
        <f t="shared" si="583"/>
        <v>-197.94994000000008</v>
      </c>
      <c r="U1796" s="288">
        <v>1984.576</v>
      </c>
      <c r="V1796" s="288">
        <v>0</v>
      </c>
      <c r="W1796" s="203">
        <f t="shared" si="558"/>
        <v>197.94994000000008</v>
      </c>
      <c r="X1796" s="203">
        <f t="shared" si="559"/>
        <v>0</v>
      </c>
    </row>
    <row r="1797" spans="1:24" ht="15" x14ac:dyDescent="0.2">
      <c r="A1797" s="744" t="s">
        <v>191</v>
      </c>
      <c r="B1797" s="243" t="s">
        <v>204</v>
      </c>
      <c r="C1797" s="353" t="s">
        <v>605</v>
      </c>
      <c r="D1797" s="353" t="s">
        <v>620</v>
      </c>
      <c r="E1797" s="369" t="s">
        <v>522</v>
      </c>
      <c r="F1797" s="369" t="s">
        <v>636</v>
      </c>
      <c r="G1797" s="288">
        <v>13.1</v>
      </c>
      <c r="H1797" s="288"/>
      <c r="I1797" s="288">
        <v>13.1</v>
      </c>
      <c r="J1797" s="288"/>
      <c r="K1797" s="43">
        <f t="shared" si="581"/>
        <v>0</v>
      </c>
      <c r="L1797" s="43">
        <f t="shared" si="582"/>
        <v>0</v>
      </c>
      <c r="M1797" s="217">
        <f t="shared" si="564"/>
        <v>0</v>
      </c>
      <c r="N1797" s="171">
        <v>18.12</v>
      </c>
      <c r="P1797" s="171">
        <v>18</v>
      </c>
      <c r="Q1797" s="245"/>
      <c r="R1797" s="288">
        <v>7</v>
      </c>
      <c r="S1797" s="288"/>
      <c r="T1797" s="217">
        <f t="shared" si="583"/>
        <v>0</v>
      </c>
      <c r="U1797" s="288">
        <v>6.7585199999999999</v>
      </c>
      <c r="V1797" s="288">
        <v>0</v>
      </c>
      <c r="W1797" s="203">
        <f t="shared" si="558"/>
        <v>0</v>
      </c>
      <c r="X1797" s="203">
        <f t="shared" si="559"/>
        <v>0</v>
      </c>
    </row>
    <row r="1798" spans="1:24" ht="25.5" x14ac:dyDescent="0.2">
      <c r="A1798" s="744" t="s">
        <v>572</v>
      </c>
      <c r="B1798" s="243" t="s">
        <v>204</v>
      </c>
      <c r="C1798" s="353" t="s">
        <v>605</v>
      </c>
      <c r="D1798" s="353" t="s">
        <v>620</v>
      </c>
      <c r="E1798" s="369" t="s">
        <v>522</v>
      </c>
      <c r="F1798" s="369" t="s">
        <v>524</v>
      </c>
      <c r="G1798" s="288">
        <v>242.72207</v>
      </c>
      <c r="H1798" s="288"/>
      <c r="I1798" s="288">
        <v>150.58953</v>
      </c>
      <c r="J1798" s="288"/>
      <c r="K1798" s="43">
        <f t="shared" si="581"/>
        <v>-92.132540000000006</v>
      </c>
      <c r="L1798" s="43">
        <f t="shared" si="582"/>
        <v>0</v>
      </c>
      <c r="M1798" s="217">
        <f t="shared" si="564"/>
        <v>0</v>
      </c>
      <c r="N1798" s="171">
        <f>697.1-98.9</f>
        <v>598.20000000000005</v>
      </c>
      <c r="P1798" s="171">
        <v>612.70000000000005</v>
      </c>
      <c r="Q1798" s="245"/>
      <c r="R1798" s="288">
        <v>302.70967000000002</v>
      </c>
      <c r="S1798" s="288"/>
      <c r="T1798" s="217">
        <f t="shared" si="583"/>
        <v>-92.132540000000006</v>
      </c>
      <c r="U1798" s="288">
        <v>599.30200000000002</v>
      </c>
      <c r="V1798" s="288">
        <v>0</v>
      </c>
      <c r="W1798" s="203">
        <f t="shared" si="558"/>
        <v>92.132540000000006</v>
      </c>
      <c r="X1798" s="203">
        <f t="shared" si="559"/>
        <v>0</v>
      </c>
    </row>
    <row r="1799" spans="1:24" ht="15" x14ac:dyDescent="0.2">
      <c r="A1799" s="744" t="s">
        <v>233</v>
      </c>
      <c r="B1799" s="243" t="s">
        <v>204</v>
      </c>
      <c r="C1799" s="353" t="s">
        <v>605</v>
      </c>
      <c r="D1799" s="353" t="s">
        <v>620</v>
      </c>
      <c r="E1799" s="369" t="s">
        <v>522</v>
      </c>
      <c r="F1799" s="369" t="s">
        <v>635</v>
      </c>
      <c r="G1799" s="288">
        <v>10.5</v>
      </c>
      <c r="H1799" s="288"/>
      <c r="I1799" s="288">
        <v>10.5</v>
      </c>
      <c r="J1799" s="288"/>
      <c r="K1799" s="43">
        <f t="shared" si="581"/>
        <v>0</v>
      </c>
      <c r="L1799" s="43">
        <f t="shared" si="582"/>
        <v>0</v>
      </c>
      <c r="M1799" s="217">
        <f t="shared" si="564"/>
        <v>0</v>
      </c>
      <c r="N1799" s="171">
        <v>9</v>
      </c>
      <c r="P1799" s="171">
        <v>29.664000000000001</v>
      </c>
      <c r="Q1799" s="245"/>
      <c r="R1799" s="288">
        <v>0</v>
      </c>
      <c r="S1799" s="288"/>
      <c r="T1799" s="217">
        <f t="shared" si="583"/>
        <v>0</v>
      </c>
      <c r="U1799" s="288">
        <v>130</v>
      </c>
      <c r="V1799" s="288">
        <v>0</v>
      </c>
      <c r="W1799" s="203">
        <f t="shared" si="558"/>
        <v>0</v>
      </c>
      <c r="X1799" s="203">
        <f t="shared" si="559"/>
        <v>0</v>
      </c>
    </row>
    <row r="1800" spans="1:24" ht="15" x14ac:dyDescent="0.2">
      <c r="A1800" s="744" t="s">
        <v>834</v>
      </c>
      <c r="B1800" s="243" t="s">
        <v>204</v>
      </c>
      <c r="C1800" s="353" t="s">
        <v>605</v>
      </c>
      <c r="D1800" s="353" t="s">
        <v>620</v>
      </c>
      <c r="E1800" s="369" t="s">
        <v>522</v>
      </c>
      <c r="F1800" s="369" t="s">
        <v>634</v>
      </c>
      <c r="G1800" s="288">
        <v>4</v>
      </c>
      <c r="H1800" s="288"/>
      <c r="I1800" s="288">
        <v>4</v>
      </c>
      <c r="J1800" s="288"/>
      <c r="K1800" s="43">
        <f t="shared" si="581"/>
        <v>0</v>
      </c>
      <c r="L1800" s="43">
        <f t="shared" si="582"/>
        <v>0</v>
      </c>
      <c r="M1800" s="217">
        <f t="shared" si="564"/>
        <v>0</v>
      </c>
      <c r="N1800" s="171">
        <v>9.5</v>
      </c>
      <c r="P1800" s="171">
        <v>28.885999999999999</v>
      </c>
      <c r="Q1800" s="245"/>
      <c r="R1800" s="288">
        <v>0.96</v>
      </c>
      <c r="S1800" s="288"/>
      <c r="T1800" s="217">
        <f t="shared" si="583"/>
        <v>0</v>
      </c>
      <c r="U1800" s="288">
        <v>340.19450000000001</v>
      </c>
      <c r="V1800" s="288">
        <v>0</v>
      </c>
      <c r="W1800" s="203">
        <f t="shared" si="558"/>
        <v>0</v>
      </c>
      <c r="X1800" s="203">
        <f t="shared" si="559"/>
        <v>0</v>
      </c>
    </row>
    <row r="1801" spans="1:24" ht="0.75" hidden="1" customHeight="1" x14ac:dyDescent="0.2">
      <c r="A1801" s="124" t="s">
        <v>1580</v>
      </c>
      <c r="B1801" s="243" t="s">
        <v>204</v>
      </c>
      <c r="C1801" s="353" t="s">
        <v>605</v>
      </c>
      <c r="D1801" s="353" t="s">
        <v>620</v>
      </c>
      <c r="E1801" s="369" t="s">
        <v>522</v>
      </c>
      <c r="F1801" s="369">
        <v>831</v>
      </c>
      <c r="G1801" s="288"/>
      <c r="H1801" s="288"/>
      <c r="I1801" s="288"/>
      <c r="J1801" s="288"/>
      <c r="K1801" s="43">
        <f t="shared" si="581"/>
        <v>0</v>
      </c>
      <c r="L1801" s="43">
        <f t="shared" si="582"/>
        <v>0</v>
      </c>
      <c r="M1801" s="217"/>
      <c r="N1801" s="171"/>
      <c r="P1801" s="171"/>
      <c r="Q1801" s="245"/>
      <c r="R1801" s="288">
        <v>0</v>
      </c>
      <c r="S1801" s="288"/>
      <c r="T1801" s="217"/>
      <c r="U1801" s="288"/>
      <c r="V1801" s="288"/>
      <c r="W1801" s="203"/>
      <c r="X1801" s="203"/>
    </row>
    <row r="1802" spans="1:24" ht="2.25" hidden="1" customHeight="1" x14ac:dyDescent="0.2">
      <c r="A1802" s="124" t="s">
        <v>1580</v>
      </c>
      <c r="B1802" s="243" t="s">
        <v>204</v>
      </c>
      <c r="C1802" s="353" t="s">
        <v>605</v>
      </c>
      <c r="D1802" s="353" t="s">
        <v>620</v>
      </c>
      <c r="E1802" s="369" t="s">
        <v>522</v>
      </c>
      <c r="F1802" s="369" t="s">
        <v>231</v>
      </c>
      <c r="G1802" s="288"/>
      <c r="H1802" s="288"/>
      <c r="I1802" s="288"/>
      <c r="J1802" s="288"/>
      <c r="K1802" s="43">
        <f t="shared" si="581"/>
        <v>0</v>
      </c>
      <c r="L1802" s="43">
        <f t="shared" si="582"/>
        <v>0</v>
      </c>
      <c r="M1802" s="217">
        <f t="shared" si="564"/>
        <v>0</v>
      </c>
      <c r="N1802" s="171">
        <v>0</v>
      </c>
      <c r="P1802" s="171">
        <v>6.6000000000000003E-2</v>
      </c>
      <c r="Q1802" s="245"/>
      <c r="R1802" s="288">
        <v>22.2</v>
      </c>
      <c r="S1802" s="288"/>
      <c r="T1802" s="217">
        <f t="shared" si="583"/>
        <v>0</v>
      </c>
      <c r="U1802" s="288">
        <v>0</v>
      </c>
      <c r="V1802" s="288">
        <v>0</v>
      </c>
      <c r="W1802" s="203">
        <f t="shared" si="558"/>
        <v>0</v>
      </c>
      <c r="X1802" s="203">
        <f t="shared" si="559"/>
        <v>0</v>
      </c>
    </row>
    <row r="1803" spans="1:24" ht="2.25" hidden="1" customHeight="1" x14ac:dyDescent="0.2">
      <c r="A1803" s="186" t="s">
        <v>303</v>
      </c>
      <c r="B1803" s="243" t="s">
        <v>204</v>
      </c>
      <c r="C1803" s="353" t="s">
        <v>605</v>
      </c>
      <c r="D1803" s="353" t="s">
        <v>620</v>
      </c>
      <c r="E1803" s="369" t="s">
        <v>522</v>
      </c>
      <c r="F1803" s="369" t="s">
        <v>302</v>
      </c>
      <c r="G1803" s="288"/>
      <c r="H1803" s="288"/>
      <c r="I1803" s="288"/>
      <c r="J1803" s="288"/>
      <c r="K1803" s="43">
        <f t="shared" si="581"/>
        <v>0</v>
      </c>
      <c r="L1803" s="43">
        <f t="shared" si="582"/>
        <v>0</v>
      </c>
      <c r="M1803" s="217">
        <f t="shared" si="564"/>
        <v>0</v>
      </c>
      <c r="N1803" s="171">
        <v>10</v>
      </c>
      <c r="P1803" s="171">
        <v>10.131</v>
      </c>
      <c r="Q1803" s="245"/>
      <c r="R1803" s="288">
        <v>5.8000100000000003</v>
      </c>
      <c r="S1803" s="288"/>
      <c r="T1803" s="217">
        <f t="shared" si="583"/>
        <v>0</v>
      </c>
      <c r="U1803" s="288">
        <v>100.00698</v>
      </c>
      <c r="V1803" s="288">
        <v>0</v>
      </c>
      <c r="W1803" s="203">
        <f t="shared" si="558"/>
        <v>0</v>
      </c>
      <c r="X1803" s="203">
        <f t="shared" si="559"/>
        <v>0</v>
      </c>
    </row>
    <row r="1804" spans="1:24" ht="15" x14ac:dyDescent="0.2">
      <c r="A1804" s="746" t="s">
        <v>1383</v>
      </c>
      <c r="B1804" s="306" t="s">
        <v>204</v>
      </c>
      <c r="C1804" s="354" t="s">
        <v>605</v>
      </c>
      <c r="D1804" s="354" t="s">
        <v>620</v>
      </c>
      <c r="E1804" s="642" t="s">
        <v>1268</v>
      </c>
      <c r="F1804" s="640"/>
      <c r="G1804" s="591">
        <f>G1805+G1806</f>
        <v>1786.7849999999999</v>
      </c>
      <c r="H1804" s="591">
        <f>H1805+H1806</f>
        <v>0</v>
      </c>
      <c r="I1804" s="591">
        <f>I1805+I1806</f>
        <v>2022.87076</v>
      </c>
      <c r="J1804" s="591">
        <f>J1805+J1806</f>
        <v>0</v>
      </c>
      <c r="K1804" s="591">
        <f t="shared" si="581"/>
        <v>236.08576000000016</v>
      </c>
      <c r="L1804" s="591">
        <f t="shared" si="582"/>
        <v>0</v>
      </c>
      <c r="M1804" s="217"/>
      <c r="N1804" s="171"/>
      <c r="P1804" s="245"/>
      <c r="Q1804" s="245"/>
      <c r="R1804" s="288"/>
      <c r="S1804" s="288"/>
      <c r="T1804" s="217"/>
      <c r="U1804" s="288"/>
      <c r="V1804" s="288"/>
      <c r="W1804" s="203"/>
      <c r="X1804" s="203"/>
    </row>
    <row r="1805" spans="1:24" ht="19.5" customHeight="1" x14ac:dyDescent="0.2">
      <c r="A1805" s="744" t="s">
        <v>529</v>
      </c>
      <c r="B1805" s="243" t="s">
        <v>204</v>
      </c>
      <c r="C1805" s="353" t="s">
        <v>605</v>
      </c>
      <c r="D1805" s="353" t="s">
        <v>620</v>
      </c>
      <c r="E1805" s="386" t="s">
        <v>1268</v>
      </c>
      <c r="F1805" s="369" t="s">
        <v>129</v>
      </c>
      <c r="G1805" s="288">
        <v>1372.338</v>
      </c>
      <c r="H1805" s="288"/>
      <c r="I1805" s="288">
        <v>1526.86995</v>
      </c>
      <c r="J1805" s="288"/>
      <c r="K1805" s="43">
        <f t="shared" si="581"/>
        <v>154.53195000000005</v>
      </c>
      <c r="L1805" s="43">
        <f t="shared" si="582"/>
        <v>0</v>
      </c>
      <c r="M1805" s="217"/>
      <c r="N1805" s="171"/>
      <c r="P1805" s="245"/>
      <c r="Q1805" s="245"/>
      <c r="R1805" s="288"/>
      <c r="S1805" s="288"/>
      <c r="T1805" s="217"/>
      <c r="U1805" s="288"/>
      <c r="V1805" s="288"/>
      <c r="W1805" s="203"/>
      <c r="X1805" s="203"/>
    </row>
    <row r="1806" spans="1:24" ht="22.5" customHeight="1" x14ac:dyDescent="0.2">
      <c r="A1806" s="744" t="s">
        <v>572</v>
      </c>
      <c r="B1806" s="243" t="s">
        <v>204</v>
      </c>
      <c r="C1806" s="353" t="s">
        <v>605</v>
      </c>
      <c r="D1806" s="353" t="s">
        <v>620</v>
      </c>
      <c r="E1806" s="386" t="s">
        <v>1268</v>
      </c>
      <c r="F1806" s="369" t="s">
        <v>524</v>
      </c>
      <c r="G1806" s="288">
        <v>414.447</v>
      </c>
      <c r="H1806" s="288"/>
      <c r="I1806" s="288">
        <v>496.00081</v>
      </c>
      <c r="J1806" s="288"/>
      <c r="K1806" s="43">
        <f t="shared" si="581"/>
        <v>81.553809999999999</v>
      </c>
      <c r="L1806" s="43">
        <f t="shared" si="582"/>
        <v>0</v>
      </c>
      <c r="M1806" s="217"/>
      <c r="N1806" s="171"/>
      <c r="P1806" s="245"/>
      <c r="Q1806" s="245"/>
      <c r="R1806" s="288"/>
      <c r="S1806" s="288"/>
      <c r="T1806" s="217"/>
      <c r="U1806" s="288"/>
      <c r="V1806" s="288"/>
      <c r="W1806" s="203"/>
      <c r="X1806" s="203"/>
    </row>
    <row r="1807" spans="1:24" ht="21" customHeight="1" x14ac:dyDescent="0.2">
      <c r="A1807" s="746" t="s">
        <v>2004</v>
      </c>
      <c r="B1807" s="306" t="s">
        <v>204</v>
      </c>
      <c r="C1807" s="354" t="s">
        <v>605</v>
      </c>
      <c r="D1807" s="354" t="s">
        <v>620</v>
      </c>
      <c r="E1807" s="719" t="s">
        <v>2003</v>
      </c>
      <c r="F1807" s="450"/>
      <c r="G1807" s="591">
        <f>SUM(G1808:G1811)</f>
        <v>0</v>
      </c>
      <c r="H1807" s="591">
        <f t="shared" ref="H1807:L1807" si="584">SUM(H1808:H1811)</f>
        <v>0</v>
      </c>
      <c r="I1807" s="591">
        <f t="shared" si="584"/>
        <v>806.33799999999997</v>
      </c>
      <c r="J1807" s="591">
        <f t="shared" si="584"/>
        <v>0</v>
      </c>
      <c r="K1807" s="591">
        <f t="shared" si="584"/>
        <v>806.33799999999997</v>
      </c>
      <c r="L1807" s="591">
        <f t="shared" si="584"/>
        <v>0</v>
      </c>
      <c r="M1807" s="217">
        <f t="shared" si="564"/>
        <v>0</v>
      </c>
      <c r="N1807" s="170">
        <f>N1810</f>
        <v>0</v>
      </c>
      <c r="R1807" s="591">
        <f>R1810+R1811</f>
        <v>1476.077</v>
      </c>
      <c r="S1807" s="591">
        <f>S1810+S1811</f>
        <v>0</v>
      </c>
      <c r="T1807" s="217">
        <f t="shared" si="583"/>
        <v>806.33799999999997</v>
      </c>
      <c r="U1807" s="498">
        <f>U1810+U1811</f>
        <v>773.92</v>
      </c>
      <c r="V1807" s="498">
        <f>V1810+V1811</f>
        <v>0</v>
      </c>
      <c r="W1807" s="203">
        <f t="shared" si="558"/>
        <v>-806.33799999999997</v>
      </c>
      <c r="X1807" s="203">
        <f t="shared" si="559"/>
        <v>0</v>
      </c>
    </row>
    <row r="1808" spans="1:24" ht="21" customHeight="1" x14ac:dyDescent="0.2">
      <c r="A1808" s="744" t="s">
        <v>2006</v>
      </c>
      <c r="B1808" s="243" t="s">
        <v>204</v>
      </c>
      <c r="C1808" s="353" t="s">
        <v>605</v>
      </c>
      <c r="D1808" s="353" t="s">
        <v>620</v>
      </c>
      <c r="E1808" s="369" t="s">
        <v>2003</v>
      </c>
      <c r="F1808" s="369">
        <v>111</v>
      </c>
      <c r="G1808" s="288"/>
      <c r="H1808" s="288"/>
      <c r="I1808" s="288">
        <v>20.373999999999999</v>
      </c>
      <c r="J1808" s="288"/>
      <c r="K1808" s="43">
        <f t="shared" ref="K1808:K1809" si="585">I1808-G1808</f>
        <v>20.373999999999999</v>
      </c>
      <c r="L1808" s="43">
        <f t="shared" ref="L1808:L1809" si="586">J1808-H1808</f>
        <v>0</v>
      </c>
      <c r="M1808" s="217"/>
      <c r="N1808" s="170"/>
      <c r="R1808" s="591"/>
      <c r="S1808" s="591"/>
      <c r="T1808" s="217"/>
      <c r="U1808" s="591"/>
      <c r="V1808" s="591"/>
      <c r="W1808" s="203"/>
      <c r="X1808" s="203"/>
    </row>
    <row r="1809" spans="1:24" ht="21" customHeight="1" x14ac:dyDescent="0.2">
      <c r="A1809" s="744" t="s">
        <v>2007</v>
      </c>
      <c r="B1809" s="243" t="s">
        <v>204</v>
      </c>
      <c r="C1809" s="353" t="s">
        <v>605</v>
      </c>
      <c r="D1809" s="353" t="s">
        <v>620</v>
      </c>
      <c r="E1809" s="369" t="s">
        <v>2003</v>
      </c>
      <c r="F1809" s="369">
        <v>119</v>
      </c>
      <c r="G1809" s="288"/>
      <c r="H1809" s="288"/>
      <c r="I1809" s="288">
        <v>6.6989999999999998</v>
      </c>
      <c r="J1809" s="288"/>
      <c r="K1809" s="43">
        <f t="shared" si="585"/>
        <v>6.6989999999999998</v>
      </c>
      <c r="L1809" s="43">
        <f t="shared" si="586"/>
        <v>0</v>
      </c>
      <c r="M1809" s="217"/>
      <c r="N1809" s="170"/>
      <c r="R1809" s="591"/>
      <c r="S1809" s="591"/>
      <c r="T1809" s="217"/>
      <c r="U1809" s="591"/>
      <c r="V1809" s="591"/>
      <c r="W1809" s="203"/>
      <c r="X1809" s="203"/>
    </row>
    <row r="1810" spans="1:24" ht="21" customHeight="1" x14ac:dyDescent="0.2">
      <c r="A1810" s="744" t="s">
        <v>529</v>
      </c>
      <c r="B1810" s="243" t="s">
        <v>204</v>
      </c>
      <c r="C1810" s="353" t="s">
        <v>605</v>
      </c>
      <c r="D1810" s="353" t="s">
        <v>620</v>
      </c>
      <c r="E1810" s="369" t="s">
        <v>2003</v>
      </c>
      <c r="F1810" s="369" t="s">
        <v>129</v>
      </c>
      <c r="G1810" s="288"/>
      <c r="H1810" s="288"/>
      <c r="I1810" s="288">
        <v>598.59100000000001</v>
      </c>
      <c r="J1810" s="288"/>
      <c r="K1810" s="43">
        <f t="shared" si="581"/>
        <v>598.59100000000001</v>
      </c>
      <c r="L1810" s="43">
        <f t="shared" si="582"/>
        <v>0</v>
      </c>
      <c r="M1810" s="217">
        <f t="shared" si="564"/>
        <v>0</v>
      </c>
      <c r="N1810" s="170">
        <f>N1811</f>
        <v>0</v>
      </c>
      <c r="R1810" s="288">
        <v>1133.7</v>
      </c>
      <c r="S1810" s="288"/>
      <c r="T1810" s="217">
        <f t="shared" si="583"/>
        <v>598.59100000000001</v>
      </c>
      <c r="U1810" s="288">
        <v>588.702</v>
      </c>
      <c r="V1810" s="288"/>
      <c r="W1810" s="203">
        <f t="shared" si="558"/>
        <v>-598.59100000000001</v>
      </c>
      <c r="X1810" s="203">
        <f t="shared" si="559"/>
        <v>0</v>
      </c>
    </row>
    <row r="1811" spans="1:24" ht="21" customHeight="1" x14ac:dyDescent="0.2">
      <c r="A1811" s="744" t="s">
        <v>572</v>
      </c>
      <c r="B1811" s="243" t="s">
        <v>204</v>
      </c>
      <c r="C1811" s="353" t="s">
        <v>605</v>
      </c>
      <c r="D1811" s="353" t="s">
        <v>620</v>
      </c>
      <c r="E1811" s="369" t="s">
        <v>2003</v>
      </c>
      <c r="F1811" s="369" t="s">
        <v>524</v>
      </c>
      <c r="G1811" s="288"/>
      <c r="H1811" s="288"/>
      <c r="I1811" s="288">
        <v>180.67400000000001</v>
      </c>
      <c r="J1811" s="288"/>
      <c r="K1811" s="43">
        <f t="shared" si="581"/>
        <v>180.67400000000001</v>
      </c>
      <c r="L1811" s="43">
        <f t="shared" si="582"/>
        <v>0</v>
      </c>
      <c r="M1811" s="217">
        <f t="shared" si="564"/>
        <v>0</v>
      </c>
      <c r="N1811" s="171">
        <v>0</v>
      </c>
      <c r="R1811" s="288">
        <v>342.37700000000001</v>
      </c>
      <c r="S1811" s="288"/>
      <c r="T1811" s="217">
        <f t="shared" si="583"/>
        <v>180.67400000000001</v>
      </c>
      <c r="U1811" s="288">
        <v>185.21799999999999</v>
      </c>
      <c r="V1811" s="288"/>
      <c r="W1811" s="203">
        <f t="shared" si="558"/>
        <v>-180.67400000000001</v>
      </c>
      <c r="X1811" s="203">
        <f t="shared" si="559"/>
        <v>0</v>
      </c>
    </row>
    <row r="1812" spans="1:24" ht="21" customHeight="1" x14ac:dyDescent="0.2">
      <c r="A1812" s="746" t="s">
        <v>601</v>
      </c>
      <c r="B1812" s="306" t="s">
        <v>204</v>
      </c>
      <c r="C1812" s="354" t="s">
        <v>608</v>
      </c>
      <c r="D1812" s="354"/>
      <c r="E1812" s="450"/>
      <c r="F1812" s="450"/>
      <c r="G1812" s="591">
        <f>G1889+G2024+G1820+G1869+G1813</f>
        <v>330095.39882</v>
      </c>
      <c r="H1812" s="591">
        <f>H1889+H2024+H1820+H1869+H1813</f>
        <v>260968.79089999999</v>
      </c>
      <c r="I1812" s="591">
        <f>I1889+I2024+I1820+I1869+I1813</f>
        <v>354068.66827999998</v>
      </c>
      <c r="J1812" s="591">
        <f>J1889+J2024+J1820+J1869+J1813</f>
        <v>260968.79089999999</v>
      </c>
      <c r="K1812" s="591">
        <f t="shared" si="581"/>
        <v>23973.269459999981</v>
      </c>
      <c r="L1812" s="591">
        <f t="shared" si="582"/>
        <v>0</v>
      </c>
      <c r="M1812" s="217">
        <f t="shared" si="564"/>
        <v>0</v>
      </c>
      <c r="N1812" s="170">
        <f>N1889+N2024+N1820</f>
        <v>60521.758000000002</v>
      </c>
      <c r="R1812" s="591">
        <f>R1889+R2024+R1820+R1869+R1813</f>
        <v>105316.11357</v>
      </c>
      <c r="S1812" s="591">
        <f>S1889+S2024+S1820+S1869+S1813</f>
        <v>57417.5</v>
      </c>
      <c r="T1812" s="217">
        <f t="shared" si="583"/>
        <v>23973.269459999981</v>
      </c>
      <c r="U1812" s="498" t="e">
        <f>U1889+U2024+U1820+U1869+U1813</f>
        <v>#REF!</v>
      </c>
      <c r="V1812" s="498" t="e">
        <f>V1889+V2024+V1820+V1869+V1813</f>
        <v>#REF!</v>
      </c>
      <c r="W1812" s="203">
        <f t="shared" si="558"/>
        <v>-23973.269459999981</v>
      </c>
      <c r="X1812" s="203">
        <f t="shared" si="559"/>
        <v>0</v>
      </c>
    </row>
    <row r="1813" spans="1:24" ht="12.75" hidden="1" customHeight="1" x14ac:dyDescent="0.2">
      <c r="A1813" s="494" t="s">
        <v>1543</v>
      </c>
      <c r="B1813" s="306" t="s">
        <v>204</v>
      </c>
      <c r="C1813" s="497" t="s">
        <v>608</v>
      </c>
      <c r="D1813" s="497" t="s">
        <v>609</v>
      </c>
      <c r="E1813" s="450"/>
      <c r="F1813" s="450"/>
      <c r="G1813" s="498">
        <f>G1814</f>
        <v>0</v>
      </c>
      <c r="H1813" s="498">
        <f>H1814</f>
        <v>0</v>
      </c>
      <c r="I1813" s="591">
        <f>I1814</f>
        <v>0</v>
      </c>
      <c r="J1813" s="591">
        <f>J1814</f>
        <v>0</v>
      </c>
      <c r="K1813" s="591">
        <f t="shared" si="581"/>
        <v>0</v>
      </c>
      <c r="L1813" s="591">
        <f t="shared" si="582"/>
        <v>0</v>
      </c>
      <c r="M1813" s="217">
        <f t="shared" si="564"/>
        <v>0</v>
      </c>
      <c r="N1813" s="170"/>
      <c r="R1813" s="591">
        <f>R1814</f>
        <v>0</v>
      </c>
      <c r="S1813" s="591">
        <f>S1814</f>
        <v>0</v>
      </c>
      <c r="T1813" s="217"/>
      <c r="U1813" s="498">
        <f t="shared" ref="U1813:V1815" si="587">U1814</f>
        <v>3062.1</v>
      </c>
      <c r="V1813" s="498">
        <f t="shared" si="587"/>
        <v>0</v>
      </c>
      <c r="W1813" s="203"/>
      <c r="X1813" s="203"/>
    </row>
    <row r="1814" spans="1:24" ht="12.75" hidden="1" customHeight="1" x14ac:dyDescent="0.2">
      <c r="A1814" s="494" t="s">
        <v>1543</v>
      </c>
      <c r="B1814" s="306" t="s">
        <v>204</v>
      </c>
      <c r="C1814" s="497" t="s">
        <v>608</v>
      </c>
      <c r="D1814" s="497" t="s">
        <v>609</v>
      </c>
      <c r="E1814" s="450">
        <v>9990000000</v>
      </c>
      <c r="F1814" s="450"/>
      <c r="G1814" s="498">
        <f>G1815+G1817</f>
        <v>0</v>
      </c>
      <c r="H1814" s="498">
        <f>H1815+H1817</f>
        <v>0</v>
      </c>
      <c r="I1814" s="591">
        <f>I1815+I1817</f>
        <v>0</v>
      </c>
      <c r="J1814" s="591">
        <f>J1815+J1817</f>
        <v>0</v>
      </c>
      <c r="K1814" s="591">
        <f t="shared" si="581"/>
        <v>0</v>
      </c>
      <c r="L1814" s="591">
        <f t="shared" si="582"/>
        <v>0</v>
      </c>
      <c r="M1814" s="217">
        <f t="shared" si="564"/>
        <v>0</v>
      </c>
      <c r="N1814" s="170"/>
      <c r="R1814" s="591">
        <f>R1815+R1817</f>
        <v>0</v>
      </c>
      <c r="S1814" s="591">
        <f>S1815+S1817</f>
        <v>0</v>
      </c>
      <c r="T1814" s="217"/>
      <c r="U1814" s="498">
        <f>U1815+U1817</f>
        <v>3062.1</v>
      </c>
      <c r="V1814" s="498">
        <f>V1815+V1817</f>
        <v>0</v>
      </c>
      <c r="W1814" s="203"/>
      <c r="X1814" s="203"/>
    </row>
    <row r="1815" spans="1:24" ht="38.25" hidden="1" customHeight="1" x14ac:dyDescent="0.2">
      <c r="A1815" s="494" t="s">
        <v>1543</v>
      </c>
      <c r="B1815" s="306" t="s">
        <v>204</v>
      </c>
      <c r="C1815" s="497" t="s">
        <v>608</v>
      </c>
      <c r="D1815" s="497" t="s">
        <v>609</v>
      </c>
      <c r="E1815" s="450">
        <v>9990073170</v>
      </c>
      <c r="F1815" s="450"/>
      <c r="G1815" s="498">
        <f>G1816</f>
        <v>0</v>
      </c>
      <c r="H1815" s="498">
        <f>H1816</f>
        <v>0</v>
      </c>
      <c r="I1815" s="591">
        <f>I1816</f>
        <v>0</v>
      </c>
      <c r="J1815" s="591">
        <f>J1816</f>
        <v>0</v>
      </c>
      <c r="K1815" s="591">
        <f t="shared" si="581"/>
        <v>0</v>
      </c>
      <c r="L1815" s="591">
        <f t="shared" si="582"/>
        <v>0</v>
      </c>
      <c r="M1815" s="217">
        <f t="shared" si="564"/>
        <v>0</v>
      </c>
      <c r="N1815" s="170"/>
      <c r="R1815" s="591">
        <f>R1816</f>
        <v>0</v>
      </c>
      <c r="S1815" s="591">
        <f>S1816</f>
        <v>0</v>
      </c>
      <c r="T1815" s="217"/>
      <c r="U1815" s="498">
        <f t="shared" si="587"/>
        <v>3054</v>
      </c>
      <c r="V1815" s="498">
        <f t="shared" si="587"/>
        <v>0</v>
      </c>
      <c r="W1815" s="203"/>
      <c r="X1815" s="203"/>
    </row>
    <row r="1816" spans="1:24" ht="38.25" hidden="1" customHeight="1" x14ac:dyDescent="0.2">
      <c r="A1816" s="124" t="s">
        <v>1543</v>
      </c>
      <c r="B1816" s="243" t="s">
        <v>204</v>
      </c>
      <c r="C1816" s="496" t="s">
        <v>608</v>
      </c>
      <c r="D1816" s="490" t="s">
        <v>609</v>
      </c>
      <c r="E1816" s="369">
        <v>9990073170</v>
      </c>
      <c r="F1816" s="369">
        <v>621</v>
      </c>
      <c r="G1816" s="288">
        <v>0</v>
      </c>
      <c r="H1816" s="288"/>
      <c r="I1816" s="288">
        <v>0</v>
      </c>
      <c r="J1816" s="288"/>
      <c r="K1816" s="43">
        <f t="shared" si="581"/>
        <v>0</v>
      </c>
      <c r="L1816" s="43">
        <f t="shared" si="582"/>
        <v>0</v>
      </c>
      <c r="M1816" s="217">
        <f t="shared" si="564"/>
        <v>0</v>
      </c>
      <c r="N1816" s="170"/>
      <c r="R1816" s="288">
        <v>0</v>
      </c>
      <c r="S1816" s="288"/>
      <c r="T1816" s="217"/>
      <c r="U1816" s="288">
        <v>3054</v>
      </c>
      <c r="V1816" s="288">
        <v>0</v>
      </c>
      <c r="W1816" s="203"/>
      <c r="X1816" s="203"/>
    </row>
    <row r="1817" spans="1:24" ht="39.75" hidden="1" customHeight="1" x14ac:dyDescent="0.2">
      <c r="A1817" s="118" t="s">
        <v>1543</v>
      </c>
      <c r="B1817" s="67" t="s">
        <v>204</v>
      </c>
      <c r="C1817" s="347" t="s">
        <v>608</v>
      </c>
      <c r="D1817" s="347" t="s">
        <v>609</v>
      </c>
      <c r="E1817" s="374">
        <v>9990073240</v>
      </c>
      <c r="F1817" s="374"/>
      <c r="G1817" s="42">
        <f>G1818+G1819</f>
        <v>0</v>
      </c>
      <c r="H1817" s="42">
        <f>H1818</f>
        <v>0</v>
      </c>
      <c r="I1817" s="42">
        <f>I1818+I1819</f>
        <v>0</v>
      </c>
      <c r="J1817" s="42">
        <f>J1818</f>
        <v>0</v>
      </c>
      <c r="K1817" s="43">
        <f t="shared" si="581"/>
        <v>0</v>
      </c>
      <c r="L1817" s="43">
        <f t="shared" si="582"/>
        <v>0</v>
      </c>
      <c r="M1817" s="217"/>
      <c r="N1817" s="170"/>
      <c r="R1817" s="42">
        <f>R1818+R1819</f>
        <v>0</v>
      </c>
      <c r="S1817" s="42">
        <f>S1818</f>
        <v>0</v>
      </c>
      <c r="T1817" s="217"/>
      <c r="U1817" s="42">
        <f>U1818+U1819</f>
        <v>8.1</v>
      </c>
      <c r="V1817" s="42">
        <f>V1818</f>
        <v>0</v>
      </c>
      <c r="W1817" s="203"/>
      <c r="X1817" s="203"/>
    </row>
    <row r="1818" spans="1:24" ht="15" hidden="1" customHeight="1" x14ac:dyDescent="0.2">
      <c r="A1818" s="124" t="s">
        <v>1543</v>
      </c>
      <c r="B1818" s="68" t="s">
        <v>204</v>
      </c>
      <c r="C1818" s="352" t="s">
        <v>608</v>
      </c>
      <c r="D1818" s="352" t="s">
        <v>609</v>
      </c>
      <c r="E1818" s="380">
        <v>9990073240</v>
      </c>
      <c r="F1818" s="375" t="s">
        <v>129</v>
      </c>
      <c r="G1818" s="43">
        <v>0</v>
      </c>
      <c r="H1818" s="43"/>
      <c r="I1818" s="43">
        <v>0</v>
      </c>
      <c r="J1818" s="43"/>
      <c r="K1818" s="43">
        <f t="shared" si="581"/>
        <v>0</v>
      </c>
      <c r="L1818" s="43">
        <f t="shared" si="582"/>
        <v>0</v>
      </c>
      <c r="M1818" s="217"/>
      <c r="N1818" s="170"/>
      <c r="R1818" s="43">
        <v>0</v>
      </c>
      <c r="S1818" s="43"/>
      <c r="T1818" s="217"/>
      <c r="U1818" s="43">
        <v>6.2211999999999996</v>
      </c>
      <c r="V1818" s="43">
        <v>0</v>
      </c>
      <c r="W1818" s="203"/>
      <c r="X1818" s="203"/>
    </row>
    <row r="1819" spans="1:24" ht="9.75" hidden="1" customHeight="1" x14ac:dyDescent="0.2">
      <c r="A1819" s="124" t="s">
        <v>1543</v>
      </c>
      <c r="B1819" s="68" t="s">
        <v>204</v>
      </c>
      <c r="C1819" s="352" t="s">
        <v>608</v>
      </c>
      <c r="D1819" s="352" t="s">
        <v>609</v>
      </c>
      <c r="E1819" s="380">
        <v>9990073240</v>
      </c>
      <c r="F1819" s="380">
        <v>129</v>
      </c>
      <c r="G1819" s="43">
        <v>0</v>
      </c>
      <c r="H1819" s="43"/>
      <c r="I1819" s="43">
        <v>0</v>
      </c>
      <c r="J1819" s="43"/>
      <c r="K1819" s="43">
        <f t="shared" si="581"/>
        <v>0</v>
      </c>
      <c r="L1819" s="43">
        <f t="shared" si="582"/>
        <v>0</v>
      </c>
      <c r="M1819" s="217"/>
      <c r="N1819" s="170"/>
      <c r="R1819" s="43">
        <v>0</v>
      </c>
      <c r="S1819" s="43"/>
      <c r="T1819" s="217"/>
      <c r="U1819" s="43">
        <v>1.8788</v>
      </c>
      <c r="V1819" s="43">
        <v>0</v>
      </c>
      <c r="W1819" s="203"/>
      <c r="X1819" s="203"/>
    </row>
    <row r="1820" spans="1:24" ht="19.5" customHeight="1" x14ac:dyDescent="0.2">
      <c r="A1820" s="746" t="s">
        <v>196</v>
      </c>
      <c r="B1820" s="306" t="s">
        <v>204</v>
      </c>
      <c r="C1820" s="354" t="s">
        <v>608</v>
      </c>
      <c r="D1820" s="354" t="s">
        <v>607</v>
      </c>
      <c r="E1820" s="450"/>
      <c r="F1820" s="450"/>
      <c r="G1820" s="591">
        <f>G1864+G1821</f>
        <v>4190.9888199999996</v>
      </c>
      <c r="H1820" s="591">
        <f>H1864+H1821</f>
        <v>0</v>
      </c>
      <c r="I1820" s="591">
        <f>I1864+I1821</f>
        <v>6274.1988000000001</v>
      </c>
      <c r="J1820" s="591">
        <f>J1864+J1821</f>
        <v>0</v>
      </c>
      <c r="K1820" s="591">
        <f t="shared" si="581"/>
        <v>2083.2099800000005</v>
      </c>
      <c r="L1820" s="591">
        <f t="shared" si="582"/>
        <v>0</v>
      </c>
      <c r="M1820" s="217">
        <f t="shared" si="564"/>
        <v>0</v>
      </c>
      <c r="N1820" s="170">
        <f>N1864</f>
        <v>237.5</v>
      </c>
      <c r="R1820" s="591">
        <f>R1864+R1821</f>
        <v>506.4</v>
      </c>
      <c r="S1820" s="591">
        <f>S1864+S1821</f>
        <v>0</v>
      </c>
      <c r="T1820" s="217">
        <f t="shared" si="583"/>
        <v>2083.2099800000005</v>
      </c>
      <c r="U1820" s="498" t="e">
        <f>U1864+U1821</f>
        <v>#REF!</v>
      </c>
      <c r="V1820" s="498" t="e">
        <f>V1864+V1821</f>
        <v>#REF!</v>
      </c>
      <c r="W1820" s="203">
        <f t="shared" si="558"/>
        <v>-2083.2099800000005</v>
      </c>
      <c r="X1820" s="203">
        <f t="shared" si="559"/>
        <v>0</v>
      </c>
    </row>
    <row r="1821" spans="1:24" ht="22.5" customHeight="1" x14ac:dyDescent="0.2">
      <c r="A1821" s="746" t="s">
        <v>1239</v>
      </c>
      <c r="B1821" s="306" t="s">
        <v>204</v>
      </c>
      <c r="C1821" s="354" t="s">
        <v>608</v>
      </c>
      <c r="D1821" s="354" t="s">
        <v>607</v>
      </c>
      <c r="E1821" s="450">
        <v>8000000000</v>
      </c>
      <c r="F1821" s="450"/>
      <c r="G1821" s="591">
        <f>G1822+G1825+G1828+G1831+G1834+G1837+G1840++G1844+G1848+G1851</f>
        <v>4190.9888199999996</v>
      </c>
      <c r="H1821" s="591">
        <f>H1822+H1825+H1828+H1831+H1834+H1837+H1840++H1844+H1848+H1851</f>
        <v>0</v>
      </c>
      <c r="I1821" s="591">
        <f>I1822+I1825+I1828+I1831+I1834+I1837+I1840++I1844+I1848+I1851</f>
        <v>3890.98882</v>
      </c>
      <c r="J1821" s="591">
        <f>J1822+J1825+J1828+J1831+J1834+J1837+J1840++J1844+J1848+J1851</f>
        <v>0</v>
      </c>
      <c r="K1821" s="591">
        <f t="shared" si="581"/>
        <v>-299.99999999999955</v>
      </c>
      <c r="L1821" s="591">
        <f t="shared" si="582"/>
        <v>0</v>
      </c>
      <c r="M1821" s="217">
        <f t="shared" si="564"/>
        <v>0</v>
      </c>
      <c r="N1821" s="170"/>
      <c r="R1821" s="591">
        <f t="shared" ref="R1821:S1823" si="588">R1822</f>
        <v>506.4</v>
      </c>
      <c r="S1821" s="591">
        <f t="shared" si="588"/>
        <v>0</v>
      </c>
      <c r="T1821" s="217"/>
      <c r="U1821" s="498" t="e">
        <f>U1822</f>
        <v>#REF!</v>
      </c>
      <c r="V1821" s="498" t="e">
        <f>V1822</f>
        <v>#REF!</v>
      </c>
      <c r="W1821" s="203">
        <f t="shared" si="558"/>
        <v>299.99999999999955</v>
      </c>
      <c r="X1821" s="203">
        <f t="shared" si="559"/>
        <v>0</v>
      </c>
    </row>
    <row r="1822" spans="1:24" ht="15" hidden="1" customHeight="1" x14ac:dyDescent="0.2">
      <c r="A1822" s="632" t="s">
        <v>1795</v>
      </c>
      <c r="B1822" s="306" t="s">
        <v>204</v>
      </c>
      <c r="C1822" s="354" t="s">
        <v>608</v>
      </c>
      <c r="D1822" s="354" t="s">
        <v>607</v>
      </c>
      <c r="E1822" s="450">
        <v>8001100000</v>
      </c>
      <c r="F1822" s="450"/>
      <c r="G1822" s="498">
        <f t="shared" ref="G1822:J1823" si="589">G1823</f>
        <v>0</v>
      </c>
      <c r="H1822" s="591">
        <f t="shared" si="589"/>
        <v>0</v>
      </c>
      <c r="I1822" s="591">
        <f t="shared" si="589"/>
        <v>0</v>
      </c>
      <c r="J1822" s="591">
        <f t="shared" si="589"/>
        <v>0</v>
      </c>
      <c r="K1822" s="591">
        <f t="shared" si="581"/>
        <v>0</v>
      </c>
      <c r="L1822" s="591">
        <f t="shared" si="582"/>
        <v>0</v>
      </c>
      <c r="M1822" s="217">
        <f t="shared" si="564"/>
        <v>0</v>
      </c>
      <c r="N1822" s="170"/>
      <c r="R1822" s="591">
        <f t="shared" si="588"/>
        <v>506.4</v>
      </c>
      <c r="S1822" s="591">
        <f t="shared" si="588"/>
        <v>0</v>
      </c>
      <c r="T1822" s="217"/>
      <c r="U1822" s="498" t="e">
        <f>U1854+U1858+U1823</f>
        <v>#REF!</v>
      </c>
      <c r="V1822" s="498" t="e">
        <f>V1854+V1858+V1823</f>
        <v>#REF!</v>
      </c>
      <c r="W1822" s="203">
        <f t="shared" si="558"/>
        <v>0</v>
      </c>
      <c r="X1822" s="203">
        <f t="shared" si="559"/>
        <v>0</v>
      </c>
    </row>
    <row r="1823" spans="1:24" ht="40.5" hidden="1" customHeight="1" x14ac:dyDescent="0.2">
      <c r="A1823" s="632" t="s">
        <v>1794</v>
      </c>
      <c r="B1823" s="306" t="s">
        <v>204</v>
      </c>
      <c r="C1823" s="354" t="s">
        <v>608</v>
      </c>
      <c r="D1823" s="354" t="s">
        <v>607</v>
      </c>
      <c r="E1823" s="613" t="s">
        <v>1664</v>
      </c>
      <c r="F1823" s="450"/>
      <c r="G1823" s="498">
        <f t="shared" si="589"/>
        <v>0</v>
      </c>
      <c r="H1823" s="591">
        <f t="shared" si="589"/>
        <v>0</v>
      </c>
      <c r="I1823" s="591">
        <f t="shared" si="589"/>
        <v>0</v>
      </c>
      <c r="J1823" s="591">
        <f t="shared" si="589"/>
        <v>0</v>
      </c>
      <c r="K1823" s="591">
        <f t="shared" si="581"/>
        <v>0</v>
      </c>
      <c r="L1823" s="591">
        <f t="shared" si="582"/>
        <v>0</v>
      </c>
      <c r="M1823" s="217">
        <f t="shared" si="564"/>
        <v>0</v>
      </c>
      <c r="N1823" s="170"/>
      <c r="R1823" s="591">
        <f t="shared" si="588"/>
        <v>506.4</v>
      </c>
      <c r="S1823" s="591">
        <f t="shared" si="588"/>
        <v>0</v>
      </c>
      <c r="T1823" s="217"/>
      <c r="U1823" s="498" t="e">
        <f>#REF!</f>
        <v>#REF!</v>
      </c>
      <c r="V1823" s="498" t="e">
        <f>#REF!</f>
        <v>#REF!</v>
      </c>
      <c r="W1823" s="203"/>
      <c r="X1823" s="203"/>
    </row>
    <row r="1824" spans="1:24" ht="3" hidden="1" customHeight="1" x14ac:dyDescent="0.2">
      <c r="A1824" s="124" t="s">
        <v>1558</v>
      </c>
      <c r="B1824" s="243" t="s">
        <v>204</v>
      </c>
      <c r="C1824" s="353" t="s">
        <v>608</v>
      </c>
      <c r="D1824" s="353" t="s">
        <v>607</v>
      </c>
      <c r="E1824" s="369" t="s">
        <v>1664</v>
      </c>
      <c r="F1824" s="369">
        <v>244</v>
      </c>
      <c r="G1824" s="288"/>
      <c r="H1824" s="288"/>
      <c r="I1824" s="288"/>
      <c r="J1824" s="288"/>
      <c r="K1824" s="255">
        <f t="shared" si="581"/>
        <v>0</v>
      </c>
      <c r="L1824" s="43">
        <f t="shared" si="582"/>
        <v>0</v>
      </c>
      <c r="M1824" s="217">
        <f t="shared" si="564"/>
        <v>0</v>
      </c>
      <c r="N1824" s="170"/>
      <c r="R1824" s="288">
        <v>506.4</v>
      </c>
      <c r="S1824" s="288"/>
      <c r="T1824" s="217"/>
      <c r="U1824" s="288">
        <v>12237.125</v>
      </c>
      <c r="V1824" s="288">
        <v>0</v>
      </c>
      <c r="W1824" s="203"/>
      <c r="X1824" s="203"/>
    </row>
    <row r="1825" spans="1:24" ht="3" hidden="1" customHeight="1" x14ac:dyDescent="0.2">
      <c r="A1825" s="626" t="s">
        <v>1737</v>
      </c>
      <c r="B1825" s="306" t="s">
        <v>204</v>
      </c>
      <c r="C1825" s="354" t="s">
        <v>608</v>
      </c>
      <c r="D1825" s="354" t="s">
        <v>607</v>
      </c>
      <c r="E1825" s="620">
        <v>8001200000</v>
      </c>
      <c r="F1825" s="620"/>
      <c r="G1825" s="591">
        <f t="shared" ref="G1825:J1826" si="590">G1826</f>
        <v>0</v>
      </c>
      <c r="H1825" s="591">
        <f t="shared" si="590"/>
        <v>0</v>
      </c>
      <c r="I1825" s="591">
        <f t="shared" si="590"/>
        <v>0</v>
      </c>
      <c r="J1825" s="591">
        <f t="shared" si="590"/>
        <v>0</v>
      </c>
      <c r="K1825" s="255">
        <f t="shared" si="581"/>
        <v>0</v>
      </c>
      <c r="L1825" s="43">
        <f t="shared" si="582"/>
        <v>0</v>
      </c>
      <c r="M1825" s="217"/>
      <c r="N1825" s="170"/>
      <c r="R1825" s="288"/>
      <c r="S1825" s="288"/>
      <c r="T1825" s="217"/>
      <c r="U1825" s="288"/>
      <c r="V1825" s="288"/>
      <c r="W1825" s="203"/>
      <c r="X1825" s="203"/>
    </row>
    <row r="1826" spans="1:24" ht="3" hidden="1" customHeight="1" x14ac:dyDescent="0.2">
      <c r="A1826" s="614" t="s">
        <v>1011</v>
      </c>
      <c r="B1826" s="306" t="s">
        <v>204</v>
      </c>
      <c r="C1826" s="354" t="s">
        <v>608</v>
      </c>
      <c r="D1826" s="354" t="s">
        <v>607</v>
      </c>
      <c r="E1826" s="622">
        <v>8001282110</v>
      </c>
      <c r="F1826" s="620"/>
      <c r="G1826" s="591">
        <f t="shared" si="590"/>
        <v>0</v>
      </c>
      <c r="H1826" s="591">
        <f t="shared" si="590"/>
        <v>0</v>
      </c>
      <c r="I1826" s="591">
        <f t="shared" si="590"/>
        <v>0</v>
      </c>
      <c r="J1826" s="591">
        <f t="shared" si="590"/>
        <v>0</v>
      </c>
      <c r="K1826" s="255">
        <f t="shared" si="581"/>
        <v>0</v>
      </c>
      <c r="L1826" s="43">
        <f t="shared" si="582"/>
        <v>0</v>
      </c>
      <c r="M1826" s="217"/>
      <c r="N1826" s="170"/>
      <c r="R1826" s="288"/>
      <c r="S1826" s="288"/>
      <c r="T1826" s="217"/>
      <c r="U1826" s="288"/>
      <c r="V1826" s="288"/>
      <c r="W1826" s="203"/>
      <c r="X1826" s="203"/>
    </row>
    <row r="1827" spans="1:24" ht="19.5" hidden="1" customHeight="1" x14ac:dyDescent="0.2">
      <c r="A1827" s="186" t="s">
        <v>834</v>
      </c>
      <c r="B1827" s="243" t="s">
        <v>204</v>
      </c>
      <c r="C1827" s="353" t="s">
        <v>608</v>
      </c>
      <c r="D1827" s="353" t="s">
        <v>607</v>
      </c>
      <c r="E1827" s="386">
        <v>8001282110</v>
      </c>
      <c r="F1827" s="369">
        <v>244</v>
      </c>
      <c r="G1827" s="288"/>
      <c r="H1827" s="288"/>
      <c r="I1827" s="288"/>
      <c r="J1827" s="288"/>
      <c r="K1827" s="255">
        <f t="shared" si="581"/>
        <v>0</v>
      </c>
      <c r="L1827" s="43">
        <f t="shared" si="582"/>
        <v>0</v>
      </c>
      <c r="M1827" s="217"/>
      <c r="N1827" s="170"/>
      <c r="R1827" s="288"/>
      <c r="S1827" s="288"/>
      <c r="T1827" s="217"/>
      <c r="U1827" s="288"/>
      <c r="V1827" s="288"/>
      <c r="W1827" s="203"/>
      <c r="X1827" s="203"/>
    </row>
    <row r="1828" spans="1:24" ht="19.5" customHeight="1" x14ac:dyDescent="0.2">
      <c r="A1828" s="746" t="s">
        <v>1736</v>
      </c>
      <c r="B1828" s="306" t="s">
        <v>204</v>
      </c>
      <c r="C1828" s="354" t="s">
        <v>608</v>
      </c>
      <c r="D1828" s="354" t="s">
        <v>607</v>
      </c>
      <c r="E1828" s="620">
        <v>8001300000</v>
      </c>
      <c r="F1828" s="620"/>
      <c r="G1828" s="591">
        <f t="shared" ref="G1828:J1829" si="591">G1829</f>
        <v>2633.9588199999998</v>
      </c>
      <c r="H1828" s="591">
        <f t="shared" si="591"/>
        <v>0</v>
      </c>
      <c r="I1828" s="591">
        <f t="shared" si="591"/>
        <v>2633.9588199999998</v>
      </c>
      <c r="J1828" s="591">
        <f t="shared" si="591"/>
        <v>0</v>
      </c>
      <c r="K1828" s="255">
        <f t="shared" si="581"/>
        <v>0</v>
      </c>
      <c r="L1828" s="43">
        <f t="shared" si="582"/>
        <v>0</v>
      </c>
      <c r="M1828" s="217"/>
      <c r="N1828" s="170"/>
      <c r="R1828" s="288"/>
      <c r="S1828" s="288"/>
      <c r="T1828" s="217"/>
      <c r="U1828" s="288"/>
      <c r="V1828" s="288"/>
      <c r="W1828" s="203"/>
      <c r="X1828" s="203"/>
    </row>
    <row r="1829" spans="1:24" ht="25.5" x14ac:dyDescent="0.2">
      <c r="A1829" s="746" t="s">
        <v>1011</v>
      </c>
      <c r="B1829" s="306" t="s">
        <v>204</v>
      </c>
      <c r="C1829" s="354" t="s">
        <v>608</v>
      </c>
      <c r="D1829" s="354" t="s">
        <v>607</v>
      </c>
      <c r="E1829" s="622">
        <v>8001382110</v>
      </c>
      <c r="F1829" s="620"/>
      <c r="G1829" s="591">
        <f t="shared" si="591"/>
        <v>2633.9588199999998</v>
      </c>
      <c r="H1829" s="591">
        <f t="shared" si="591"/>
        <v>0</v>
      </c>
      <c r="I1829" s="591">
        <f t="shared" si="591"/>
        <v>2633.9588199999998</v>
      </c>
      <c r="J1829" s="591">
        <f t="shared" si="591"/>
        <v>0</v>
      </c>
      <c r="K1829" s="255">
        <f t="shared" si="581"/>
        <v>0</v>
      </c>
      <c r="L1829" s="43">
        <f t="shared" si="582"/>
        <v>0</v>
      </c>
      <c r="M1829" s="217"/>
      <c r="N1829" s="170"/>
      <c r="R1829" s="288"/>
      <c r="S1829" s="288"/>
      <c r="T1829" s="217"/>
      <c r="U1829" s="288"/>
      <c r="V1829" s="288"/>
      <c r="W1829" s="203"/>
      <c r="X1829" s="203"/>
    </row>
    <row r="1830" spans="1:24" ht="15" x14ac:dyDescent="0.2">
      <c r="A1830" s="744" t="s">
        <v>834</v>
      </c>
      <c r="B1830" s="243" t="s">
        <v>204</v>
      </c>
      <c r="C1830" s="353" t="s">
        <v>608</v>
      </c>
      <c r="D1830" s="353" t="s">
        <v>607</v>
      </c>
      <c r="E1830" s="386">
        <v>8001382110</v>
      </c>
      <c r="F1830" s="369">
        <v>244</v>
      </c>
      <c r="G1830" s="288">
        <v>2633.9588199999998</v>
      </c>
      <c r="H1830" s="288"/>
      <c r="I1830" s="288">
        <v>2633.9588199999998</v>
      </c>
      <c r="J1830" s="288"/>
      <c r="K1830" s="255">
        <f t="shared" si="581"/>
        <v>0</v>
      </c>
      <c r="L1830" s="43">
        <f t="shared" si="582"/>
        <v>0</v>
      </c>
      <c r="M1830" s="217"/>
      <c r="N1830" s="170"/>
      <c r="R1830" s="288"/>
      <c r="S1830" s="288"/>
      <c r="T1830" s="217"/>
      <c r="U1830" s="288"/>
      <c r="V1830" s="288"/>
      <c r="W1830" s="203"/>
      <c r="X1830" s="203"/>
    </row>
    <row r="1831" spans="1:24" ht="15" hidden="1" x14ac:dyDescent="0.2">
      <c r="A1831" s="626" t="s">
        <v>1735</v>
      </c>
      <c r="B1831" s="306" t="s">
        <v>204</v>
      </c>
      <c r="C1831" s="354" t="s">
        <v>608</v>
      </c>
      <c r="D1831" s="354" t="s">
        <v>607</v>
      </c>
      <c r="E1831" s="620">
        <v>8001500000</v>
      </c>
      <c r="F1831" s="620"/>
      <c r="G1831" s="591">
        <f t="shared" ref="G1831:J1832" si="592">G1832</f>
        <v>165.89</v>
      </c>
      <c r="H1831" s="591">
        <f t="shared" si="592"/>
        <v>0</v>
      </c>
      <c r="I1831" s="714">
        <f t="shared" si="592"/>
        <v>0</v>
      </c>
      <c r="J1831" s="591">
        <f t="shared" si="592"/>
        <v>0</v>
      </c>
      <c r="K1831" s="255">
        <f t="shared" si="581"/>
        <v>-165.89</v>
      </c>
      <c r="L1831" s="43">
        <f t="shared" si="582"/>
        <v>0</v>
      </c>
      <c r="M1831" s="217"/>
      <c r="N1831" s="170"/>
      <c r="R1831" s="288"/>
      <c r="S1831" s="288"/>
      <c r="T1831" s="217"/>
      <c r="U1831" s="288"/>
      <c r="V1831" s="288"/>
      <c r="W1831" s="203"/>
      <c r="X1831" s="203"/>
    </row>
    <row r="1832" spans="1:24" ht="15" hidden="1" x14ac:dyDescent="0.2">
      <c r="A1832" s="614" t="s">
        <v>1385</v>
      </c>
      <c r="B1832" s="306" t="s">
        <v>204</v>
      </c>
      <c r="C1832" s="354" t="s">
        <v>608</v>
      </c>
      <c r="D1832" s="354" t="s">
        <v>607</v>
      </c>
      <c r="E1832" s="622">
        <v>8001582020</v>
      </c>
      <c r="F1832" s="620"/>
      <c r="G1832" s="591">
        <f t="shared" si="592"/>
        <v>165.89</v>
      </c>
      <c r="H1832" s="591">
        <f t="shared" si="592"/>
        <v>0</v>
      </c>
      <c r="I1832" s="714">
        <f t="shared" si="592"/>
        <v>0</v>
      </c>
      <c r="J1832" s="591">
        <f t="shared" si="592"/>
        <v>0</v>
      </c>
      <c r="K1832" s="255">
        <f t="shared" si="581"/>
        <v>-165.89</v>
      </c>
      <c r="L1832" s="43">
        <f t="shared" si="582"/>
        <v>0</v>
      </c>
      <c r="M1832" s="217"/>
      <c r="N1832" s="170"/>
      <c r="R1832" s="288"/>
      <c r="S1832" s="288"/>
      <c r="T1832" s="217"/>
      <c r="U1832" s="288"/>
      <c r="V1832" s="288"/>
      <c r="W1832" s="203"/>
      <c r="X1832" s="203"/>
    </row>
    <row r="1833" spans="1:24" ht="15" hidden="1" x14ac:dyDescent="0.2">
      <c r="A1833" s="186" t="s">
        <v>834</v>
      </c>
      <c r="B1833" s="243" t="s">
        <v>204</v>
      </c>
      <c r="C1833" s="353" t="s">
        <v>608</v>
      </c>
      <c r="D1833" s="353" t="s">
        <v>607</v>
      </c>
      <c r="E1833" s="386">
        <v>8001582020</v>
      </c>
      <c r="F1833" s="369">
        <v>244</v>
      </c>
      <c r="G1833" s="288">
        <v>165.89</v>
      </c>
      <c r="H1833" s="288"/>
      <c r="I1833" s="713">
        <v>0</v>
      </c>
      <c r="J1833" s="288"/>
      <c r="K1833" s="255">
        <f t="shared" si="581"/>
        <v>-165.89</v>
      </c>
      <c r="L1833" s="43">
        <f t="shared" si="582"/>
        <v>0</v>
      </c>
      <c r="M1833" s="217"/>
      <c r="N1833" s="170"/>
      <c r="R1833" s="288"/>
      <c r="S1833" s="288"/>
      <c r="T1833" s="217"/>
      <c r="U1833" s="288"/>
      <c r="V1833" s="288"/>
      <c r="W1833" s="203"/>
      <c r="X1833" s="203"/>
    </row>
    <row r="1834" spans="1:24" ht="15" hidden="1" x14ac:dyDescent="0.2">
      <c r="A1834" s="626" t="s">
        <v>1734</v>
      </c>
      <c r="B1834" s="306" t="s">
        <v>204</v>
      </c>
      <c r="C1834" s="354" t="s">
        <v>608</v>
      </c>
      <c r="D1834" s="354" t="s">
        <v>607</v>
      </c>
      <c r="E1834" s="620">
        <v>8001600000</v>
      </c>
      <c r="F1834" s="620"/>
      <c r="G1834" s="591">
        <f t="shared" ref="G1834:J1835" si="593">G1835</f>
        <v>0</v>
      </c>
      <c r="H1834" s="591">
        <f t="shared" si="593"/>
        <v>0</v>
      </c>
      <c r="I1834" s="591">
        <f t="shared" si="593"/>
        <v>0</v>
      </c>
      <c r="J1834" s="591">
        <f t="shared" si="593"/>
        <v>0</v>
      </c>
      <c r="K1834" s="255">
        <f t="shared" si="581"/>
        <v>0</v>
      </c>
      <c r="L1834" s="43">
        <f t="shared" si="582"/>
        <v>0</v>
      </c>
      <c r="M1834" s="217"/>
      <c r="N1834" s="170"/>
      <c r="R1834" s="288"/>
      <c r="S1834" s="288"/>
      <c r="T1834" s="217"/>
      <c r="U1834" s="288"/>
      <c r="V1834" s="288"/>
      <c r="W1834" s="203"/>
      <c r="X1834" s="203"/>
    </row>
    <row r="1835" spans="1:24" ht="15" hidden="1" x14ac:dyDescent="0.2">
      <c r="A1835" s="614" t="s">
        <v>1385</v>
      </c>
      <c r="B1835" s="306" t="s">
        <v>204</v>
      </c>
      <c r="C1835" s="354" t="s">
        <v>608</v>
      </c>
      <c r="D1835" s="354" t="s">
        <v>607</v>
      </c>
      <c r="E1835" s="622">
        <v>8001682020</v>
      </c>
      <c r="F1835" s="620"/>
      <c r="G1835" s="591">
        <f t="shared" si="593"/>
        <v>0</v>
      </c>
      <c r="H1835" s="591">
        <f t="shared" si="593"/>
        <v>0</v>
      </c>
      <c r="I1835" s="591">
        <f t="shared" si="593"/>
        <v>0</v>
      </c>
      <c r="J1835" s="591">
        <f t="shared" si="593"/>
        <v>0</v>
      </c>
      <c r="K1835" s="255">
        <f t="shared" si="581"/>
        <v>0</v>
      </c>
      <c r="L1835" s="43">
        <f t="shared" si="582"/>
        <v>0</v>
      </c>
      <c r="M1835" s="217"/>
      <c r="N1835" s="170"/>
      <c r="R1835" s="288"/>
      <c r="S1835" s="288"/>
      <c r="T1835" s="217"/>
      <c r="U1835" s="288"/>
      <c r="V1835" s="288"/>
      <c r="W1835" s="203"/>
      <c r="X1835" s="203"/>
    </row>
    <row r="1836" spans="1:24" ht="15" hidden="1" x14ac:dyDescent="0.2">
      <c r="A1836" s="186" t="s">
        <v>834</v>
      </c>
      <c r="B1836" s="243" t="s">
        <v>204</v>
      </c>
      <c r="C1836" s="353" t="s">
        <v>608</v>
      </c>
      <c r="D1836" s="353" t="s">
        <v>607</v>
      </c>
      <c r="E1836" s="386">
        <v>8001682020</v>
      </c>
      <c r="F1836" s="369">
        <v>244</v>
      </c>
      <c r="G1836" s="288">
        <v>0</v>
      </c>
      <c r="H1836" s="288"/>
      <c r="I1836" s="288">
        <v>0</v>
      </c>
      <c r="J1836" s="288"/>
      <c r="K1836" s="255">
        <f t="shared" si="581"/>
        <v>0</v>
      </c>
      <c r="L1836" s="43">
        <f t="shared" si="582"/>
        <v>0</v>
      </c>
      <c r="M1836" s="217"/>
      <c r="N1836" s="170"/>
      <c r="R1836" s="288"/>
      <c r="S1836" s="288"/>
      <c r="T1836" s="217"/>
      <c r="U1836" s="288"/>
      <c r="V1836" s="288"/>
      <c r="W1836" s="203"/>
      <c r="X1836" s="203"/>
    </row>
    <row r="1837" spans="1:24" ht="15" x14ac:dyDescent="0.2">
      <c r="A1837" s="746" t="s">
        <v>1733</v>
      </c>
      <c r="B1837" s="306" t="s">
        <v>204</v>
      </c>
      <c r="C1837" s="354" t="s">
        <v>608</v>
      </c>
      <c r="D1837" s="354" t="s">
        <v>607</v>
      </c>
      <c r="E1837" s="620">
        <v>8001700000</v>
      </c>
      <c r="F1837" s="620"/>
      <c r="G1837" s="591">
        <f t="shared" ref="G1837:J1838" si="594">G1838</f>
        <v>617.98</v>
      </c>
      <c r="H1837" s="591">
        <f t="shared" si="594"/>
        <v>0</v>
      </c>
      <c r="I1837" s="591">
        <f t="shared" si="594"/>
        <v>617.98</v>
      </c>
      <c r="J1837" s="591">
        <f t="shared" si="594"/>
        <v>0</v>
      </c>
      <c r="K1837" s="255">
        <f t="shared" si="581"/>
        <v>0</v>
      </c>
      <c r="L1837" s="43">
        <f t="shared" si="582"/>
        <v>0</v>
      </c>
      <c r="M1837" s="217"/>
      <c r="N1837" s="170"/>
      <c r="R1837" s="288"/>
      <c r="S1837" s="288"/>
      <c r="T1837" s="217"/>
      <c r="U1837" s="288"/>
      <c r="V1837" s="288"/>
      <c r="W1837" s="203"/>
      <c r="X1837" s="203"/>
    </row>
    <row r="1838" spans="1:24" ht="15" x14ac:dyDescent="0.2">
      <c r="A1838" s="746" t="s">
        <v>1385</v>
      </c>
      <c r="B1838" s="306" t="s">
        <v>204</v>
      </c>
      <c r="C1838" s="354" t="s">
        <v>608</v>
      </c>
      <c r="D1838" s="354" t="s">
        <v>607</v>
      </c>
      <c r="E1838" s="622">
        <v>8001782020</v>
      </c>
      <c r="F1838" s="620"/>
      <c r="G1838" s="591">
        <f t="shared" si="594"/>
        <v>617.98</v>
      </c>
      <c r="H1838" s="591">
        <f t="shared" si="594"/>
        <v>0</v>
      </c>
      <c r="I1838" s="591">
        <f t="shared" si="594"/>
        <v>617.98</v>
      </c>
      <c r="J1838" s="591">
        <f t="shared" si="594"/>
        <v>0</v>
      </c>
      <c r="K1838" s="255">
        <f t="shared" si="581"/>
        <v>0</v>
      </c>
      <c r="L1838" s="43">
        <f t="shared" si="582"/>
        <v>0</v>
      </c>
      <c r="M1838" s="217"/>
      <c r="N1838" s="170"/>
      <c r="R1838" s="288"/>
      <c r="S1838" s="288"/>
      <c r="T1838" s="217"/>
      <c r="U1838" s="288"/>
      <c r="V1838" s="288"/>
      <c r="W1838" s="203"/>
      <c r="X1838" s="203"/>
    </row>
    <row r="1839" spans="1:24" ht="15.75" customHeight="1" x14ac:dyDescent="0.2">
      <c r="A1839" s="744" t="s">
        <v>834</v>
      </c>
      <c r="B1839" s="243" t="s">
        <v>204</v>
      </c>
      <c r="C1839" s="353" t="s">
        <v>608</v>
      </c>
      <c r="D1839" s="353" t="s">
        <v>607</v>
      </c>
      <c r="E1839" s="386">
        <v>8001782020</v>
      </c>
      <c r="F1839" s="369">
        <v>244</v>
      </c>
      <c r="G1839" s="288">
        <v>617.98</v>
      </c>
      <c r="H1839" s="288"/>
      <c r="I1839" s="288">
        <v>617.98</v>
      </c>
      <c r="J1839" s="288"/>
      <c r="K1839" s="255">
        <f t="shared" si="581"/>
        <v>0</v>
      </c>
      <c r="L1839" s="43">
        <f t="shared" si="582"/>
        <v>0</v>
      </c>
      <c r="M1839" s="217"/>
      <c r="N1839" s="170"/>
      <c r="R1839" s="288"/>
      <c r="S1839" s="288"/>
      <c r="T1839" s="217"/>
      <c r="U1839" s="288"/>
      <c r="V1839" s="288"/>
      <c r="W1839" s="203"/>
      <c r="X1839" s="203"/>
    </row>
    <row r="1840" spans="1:24" ht="15" hidden="1" x14ac:dyDescent="0.2">
      <c r="A1840" s="626" t="s">
        <v>1732</v>
      </c>
      <c r="B1840" s="306" t="s">
        <v>204</v>
      </c>
      <c r="C1840" s="354" t="s">
        <v>608</v>
      </c>
      <c r="D1840" s="354" t="s">
        <v>607</v>
      </c>
      <c r="E1840" s="620">
        <v>8001800000</v>
      </c>
      <c r="F1840" s="620"/>
      <c r="G1840" s="591">
        <f>G1841</f>
        <v>0</v>
      </c>
      <c r="H1840" s="591">
        <f>H1841</f>
        <v>0</v>
      </c>
      <c r="I1840" s="591">
        <f>I1841</f>
        <v>0</v>
      </c>
      <c r="J1840" s="591">
        <f>J1841</f>
        <v>0</v>
      </c>
      <c r="K1840" s="255">
        <f t="shared" si="581"/>
        <v>0</v>
      </c>
      <c r="L1840" s="43">
        <f t="shared" si="582"/>
        <v>0</v>
      </c>
      <c r="M1840" s="217"/>
      <c r="N1840" s="170"/>
      <c r="R1840" s="288"/>
      <c r="S1840" s="288"/>
      <c r="T1840" s="217"/>
      <c r="U1840" s="288"/>
      <c r="V1840" s="288"/>
      <c r="W1840" s="203"/>
      <c r="X1840" s="203"/>
    </row>
    <row r="1841" spans="1:24" ht="15" hidden="1" customHeight="1" x14ac:dyDescent="0.2">
      <c r="A1841" s="636" t="s">
        <v>1802</v>
      </c>
      <c r="B1841" s="306" t="s">
        <v>204</v>
      </c>
      <c r="C1841" s="354" t="s">
        <v>608</v>
      </c>
      <c r="D1841" s="354" t="s">
        <v>607</v>
      </c>
      <c r="E1841" s="637" t="s">
        <v>1801</v>
      </c>
      <c r="F1841" s="620"/>
      <c r="G1841" s="591">
        <f>G1842+G1843</f>
        <v>0</v>
      </c>
      <c r="H1841" s="591">
        <f>H1842+H1843</f>
        <v>0</v>
      </c>
      <c r="I1841" s="591">
        <f>I1842+I1843</f>
        <v>0</v>
      </c>
      <c r="J1841" s="591">
        <f>J1842+J1843</f>
        <v>0</v>
      </c>
      <c r="K1841" s="591">
        <f t="shared" si="581"/>
        <v>0</v>
      </c>
      <c r="L1841" s="591">
        <f t="shared" si="582"/>
        <v>0</v>
      </c>
      <c r="M1841" s="217"/>
      <c r="N1841" s="170"/>
      <c r="R1841" s="288"/>
      <c r="S1841" s="288"/>
      <c r="T1841" s="217"/>
      <c r="U1841" s="288"/>
      <c r="V1841" s="288"/>
      <c r="W1841" s="203"/>
      <c r="X1841" s="203"/>
    </row>
    <row r="1842" spans="1:24" ht="16.5" hidden="1" customHeight="1" x14ac:dyDescent="0.2">
      <c r="A1842" s="186" t="s">
        <v>834</v>
      </c>
      <c r="B1842" s="243" t="s">
        <v>204</v>
      </c>
      <c r="C1842" s="353" t="s">
        <v>608</v>
      </c>
      <c r="D1842" s="353" t="s">
        <v>607</v>
      </c>
      <c r="E1842" s="386" t="s">
        <v>1801</v>
      </c>
      <c r="F1842" s="369">
        <v>244</v>
      </c>
      <c r="G1842" s="288">
        <v>0</v>
      </c>
      <c r="H1842" s="288"/>
      <c r="I1842" s="288">
        <v>0</v>
      </c>
      <c r="J1842" s="288"/>
      <c r="K1842" s="255">
        <f t="shared" si="581"/>
        <v>0</v>
      </c>
      <c r="L1842" s="43">
        <f t="shared" si="582"/>
        <v>0</v>
      </c>
      <c r="M1842" s="217"/>
      <c r="N1842" s="170"/>
      <c r="R1842" s="288"/>
      <c r="S1842" s="288"/>
      <c r="T1842" s="217"/>
      <c r="U1842" s="288"/>
      <c r="V1842" s="288"/>
      <c r="W1842" s="203"/>
      <c r="X1842" s="203"/>
    </row>
    <row r="1843" spans="1:24" ht="24" hidden="1" customHeight="1" x14ac:dyDescent="0.2">
      <c r="A1843" s="186" t="s">
        <v>164</v>
      </c>
      <c r="B1843" s="243" t="s">
        <v>204</v>
      </c>
      <c r="C1843" s="353" t="s">
        <v>608</v>
      </c>
      <c r="D1843" s="353" t="s">
        <v>607</v>
      </c>
      <c r="E1843" s="386" t="s">
        <v>1801</v>
      </c>
      <c r="F1843" s="369">
        <v>540</v>
      </c>
      <c r="G1843" s="288"/>
      <c r="H1843" s="288"/>
      <c r="I1843" s="288"/>
      <c r="J1843" s="288"/>
      <c r="K1843" s="255">
        <f t="shared" si="581"/>
        <v>0</v>
      </c>
      <c r="L1843" s="43">
        <f t="shared" si="582"/>
        <v>0</v>
      </c>
      <c r="M1843" s="217"/>
      <c r="N1843" s="170"/>
      <c r="R1843" s="288"/>
      <c r="S1843" s="288"/>
      <c r="T1843" s="217"/>
      <c r="U1843" s="288"/>
      <c r="V1843" s="288"/>
      <c r="W1843" s="203"/>
      <c r="X1843" s="203"/>
    </row>
    <row r="1844" spans="1:24" ht="15" hidden="1" customHeight="1" x14ac:dyDescent="0.2">
      <c r="A1844" s="626" t="s">
        <v>1731</v>
      </c>
      <c r="B1844" s="306" t="s">
        <v>204</v>
      </c>
      <c r="C1844" s="354" t="s">
        <v>608</v>
      </c>
      <c r="D1844" s="354" t="s">
        <v>607</v>
      </c>
      <c r="E1844" s="620">
        <v>8001900000</v>
      </c>
      <c r="F1844" s="620"/>
      <c r="G1844" s="591">
        <f>G1845</f>
        <v>0</v>
      </c>
      <c r="H1844" s="591">
        <f>H1845</f>
        <v>0</v>
      </c>
      <c r="I1844" s="591">
        <f>I1845</f>
        <v>0</v>
      </c>
      <c r="J1844" s="591">
        <f>J1845</f>
        <v>0</v>
      </c>
      <c r="K1844" s="255">
        <f t="shared" si="581"/>
        <v>0</v>
      </c>
      <c r="L1844" s="43">
        <f t="shared" si="582"/>
        <v>0</v>
      </c>
      <c r="M1844" s="217"/>
      <c r="N1844" s="170"/>
      <c r="R1844" s="288"/>
      <c r="S1844" s="288"/>
      <c r="T1844" s="217"/>
      <c r="U1844" s="288"/>
      <c r="V1844" s="288"/>
      <c r="W1844" s="203"/>
      <c r="X1844" s="203"/>
    </row>
    <row r="1845" spans="1:24" ht="21" hidden="1" customHeight="1" x14ac:dyDescent="0.2">
      <c r="A1845" s="636" t="s">
        <v>1802</v>
      </c>
      <c r="B1845" s="306" t="s">
        <v>204</v>
      </c>
      <c r="C1845" s="354" t="s">
        <v>608</v>
      </c>
      <c r="D1845" s="354" t="s">
        <v>607</v>
      </c>
      <c r="E1845" s="637" t="s">
        <v>1803</v>
      </c>
      <c r="F1845" s="620"/>
      <c r="G1845" s="591">
        <f>G1846+G1847</f>
        <v>0</v>
      </c>
      <c r="H1845" s="591">
        <f>H1846+H1847</f>
        <v>0</v>
      </c>
      <c r="I1845" s="591">
        <f>I1846+I1847</f>
        <v>0</v>
      </c>
      <c r="J1845" s="591">
        <f>J1846+J1847</f>
        <v>0</v>
      </c>
      <c r="K1845" s="591">
        <f t="shared" si="581"/>
        <v>0</v>
      </c>
      <c r="L1845" s="591">
        <f t="shared" si="582"/>
        <v>0</v>
      </c>
      <c r="M1845" s="217"/>
      <c r="N1845" s="170"/>
      <c r="R1845" s="288"/>
      <c r="S1845" s="288"/>
      <c r="T1845" s="217"/>
      <c r="U1845" s="288"/>
      <c r="V1845" s="288"/>
      <c r="W1845" s="203"/>
      <c r="X1845" s="203"/>
    </row>
    <row r="1846" spans="1:24" ht="19.5" hidden="1" customHeight="1" x14ac:dyDescent="0.2">
      <c r="A1846" s="186" t="s">
        <v>834</v>
      </c>
      <c r="B1846" s="243" t="s">
        <v>204</v>
      </c>
      <c r="C1846" s="353" t="s">
        <v>608</v>
      </c>
      <c r="D1846" s="353" t="s">
        <v>607</v>
      </c>
      <c r="E1846" s="386" t="s">
        <v>1803</v>
      </c>
      <c r="F1846" s="369">
        <v>244</v>
      </c>
      <c r="G1846" s="288">
        <v>0</v>
      </c>
      <c r="H1846" s="288"/>
      <c r="I1846" s="288">
        <v>0</v>
      </c>
      <c r="J1846" s="288"/>
      <c r="K1846" s="255">
        <f t="shared" si="581"/>
        <v>0</v>
      </c>
      <c r="L1846" s="43">
        <f t="shared" si="582"/>
        <v>0</v>
      </c>
      <c r="M1846" s="217"/>
      <c r="N1846" s="170"/>
      <c r="R1846" s="288"/>
      <c r="S1846" s="288"/>
      <c r="T1846" s="217"/>
      <c r="U1846" s="288"/>
      <c r="V1846" s="288"/>
      <c r="W1846" s="203"/>
      <c r="X1846" s="203"/>
    </row>
    <row r="1847" spans="1:24" ht="21.75" hidden="1" customHeight="1" x14ac:dyDescent="0.2">
      <c r="A1847" s="186" t="s">
        <v>164</v>
      </c>
      <c r="B1847" s="243" t="s">
        <v>204</v>
      </c>
      <c r="C1847" s="353" t="s">
        <v>608</v>
      </c>
      <c r="D1847" s="353" t="s">
        <v>607</v>
      </c>
      <c r="E1847" s="386" t="s">
        <v>1803</v>
      </c>
      <c r="F1847" s="369">
        <v>540</v>
      </c>
      <c r="G1847" s="288"/>
      <c r="H1847" s="288"/>
      <c r="I1847" s="288"/>
      <c r="J1847" s="288"/>
      <c r="K1847" s="255">
        <f t="shared" si="581"/>
        <v>0</v>
      </c>
      <c r="L1847" s="43">
        <f t="shared" si="582"/>
        <v>0</v>
      </c>
      <c r="M1847" s="217"/>
      <c r="N1847" s="170"/>
      <c r="R1847" s="288"/>
      <c r="S1847" s="288"/>
      <c r="T1847" s="217"/>
      <c r="U1847" s="288"/>
      <c r="V1847" s="288"/>
      <c r="W1847" s="203"/>
      <c r="X1847" s="203"/>
    </row>
    <row r="1848" spans="1:24" ht="25.5" x14ac:dyDescent="0.2">
      <c r="A1848" s="746" t="s">
        <v>1730</v>
      </c>
      <c r="B1848" s="306" t="s">
        <v>204</v>
      </c>
      <c r="C1848" s="354" t="s">
        <v>608</v>
      </c>
      <c r="D1848" s="354" t="s">
        <v>607</v>
      </c>
      <c r="E1848" s="620">
        <v>8002000000</v>
      </c>
      <c r="F1848" s="620"/>
      <c r="G1848" s="591">
        <f t="shared" ref="G1848:J1852" si="595">G1849</f>
        <v>173.16</v>
      </c>
      <c r="H1848" s="591">
        <f t="shared" si="595"/>
        <v>0</v>
      </c>
      <c r="I1848" s="591">
        <f t="shared" si="595"/>
        <v>39.049999999999997</v>
      </c>
      <c r="J1848" s="591">
        <f t="shared" si="595"/>
        <v>0</v>
      </c>
      <c r="K1848" s="255">
        <f t="shared" si="581"/>
        <v>-134.11000000000001</v>
      </c>
      <c r="L1848" s="43">
        <f t="shared" si="582"/>
        <v>0</v>
      </c>
      <c r="M1848" s="217"/>
      <c r="N1848" s="170"/>
      <c r="R1848" s="288"/>
      <c r="S1848" s="288"/>
      <c r="T1848" s="217"/>
      <c r="U1848" s="288"/>
      <c r="V1848" s="288"/>
      <c r="W1848" s="203"/>
      <c r="X1848" s="203"/>
    </row>
    <row r="1849" spans="1:24" ht="15" x14ac:dyDescent="0.2">
      <c r="A1849" s="746" t="s">
        <v>1385</v>
      </c>
      <c r="B1849" s="306" t="s">
        <v>204</v>
      </c>
      <c r="C1849" s="354" t="s">
        <v>608</v>
      </c>
      <c r="D1849" s="354" t="s">
        <v>607</v>
      </c>
      <c r="E1849" s="622">
        <v>8002082020</v>
      </c>
      <c r="F1849" s="620"/>
      <c r="G1849" s="591">
        <f t="shared" si="595"/>
        <v>173.16</v>
      </c>
      <c r="H1849" s="591">
        <f t="shared" si="595"/>
        <v>0</v>
      </c>
      <c r="I1849" s="591">
        <f t="shared" si="595"/>
        <v>39.049999999999997</v>
      </c>
      <c r="J1849" s="591">
        <f t="shared" si="595"/>
        <v>0</v>
      </c>
      <c r="K1849" s="255">
        <f t="shared" si="581"/>
        <v>-134.11000000000001</v>
      </c>
      <c r="L1849" s="43">
        <f t="shared" si="582"/>
        <v>0</v>
      </c>
      <c r="M1849" s="217"/>
      <c r="N1849" s="170"/>
      <c r="R1849" s="288"/>
      <c r="S1849" s="288"/>
      <c r="T1849" s="217"/>
      <c r="U1849" s="288"/>
      <c r="V1849" s="288"/>
      <c r="W1849" s="203"/>
      <c r="X1849" s="203"/>
    </row>
    <row r="1850" spans="1:24" ht="15" x14ac:dyDescent="0.2">
      <c r="A1850" s="744" t="s">
        <v>834</v>
      </c>
      <c r="B1850" s="243" t="s">
        <v>204</v>
      </c>
      <c r="C1850" s="353" t="s">
        <v>608</v>
      </c>
      <c r="D1850" s="353" t="s">
        <v>607</v>
      </c>
      <c r="E1850" s="386">
        <v>8002082020</v>
      </c>
      <c r="F1850" s="369">
        <v>244</v>
      </c>
      <c r="G1850" s="288">
        <v>173.16</v>
      </c>
      <c r="H1850" s="288"/>
      <c r="I1850" s="288">
        <v>39.049999999999997</v>
      </c>
      <c r="J1850" s="288"/>
      <c r="K1850" s="255">
        <f t="shared" si="581"/>
        <v>-134.11000000000001</v>
      </c>
      <c r="L1850" s="43">
        <f t="shared" si="582"/>
        <v>0</v>
      </c>
      <c r="M1850" s="217"/>
      <c r="N1850" s="170"/>
      <c r="R1850" s="288"/>
      <c r="S1850" s="288"/>
      <c r="T1850" s="217"/>
      <c r="U1850" s="288"/>
      <c r="V1850" s="288"/>
      <c r="W1850" s="203"/>
      <c r="X1850" s="203"/>
    </row>
    <row r="1851" spans="1:24" ht="15" x14ac:dyDescent="0.2">
      <c r="A1851" s="746" t="s">
        <v>1859</v>
      </c>
      <c r="B1851" s="306" t="s">
        <v>204</v>
      </c>
      <c r="C1851" s="354" t="s">
        <v>608</v>
      </c>
      <c r="D1851" s="354" t="s">
        <v>607</v>
      </c>
      <c r="E1851" s="659">
        <v>8002100000</v>
      </c>
      <c r="F1851" s="659"/>
      <c r="G1851" s="591">
        <f t="shared" si="595"/>
        <v>600</v>
      </c>
      <c r="H1851" s="591">
        <f t="shared" si="595"/>
        <v>0</v>
      </c>
      <c r="I1851" s="591">
        <f t="shared" si="595"/>
        <v>600</v>
      </c>
      <c r="J1851" s="591">
        <f t="shared" si="595"/>
        <v>0</v>
      </c>
      <c r="K1851" s="255">
        <f t="shared" si="581"/>
        <v>0</v>
      </c>
      <c r="L1851" s="43">
        <f t="shared" si="582"/>
        <v>0</v>
      </c>
      <c r="M1851" s="217"/>
      <c r="N1851" s="170"/>
      <c r="R1851" s="288"/>
      <c r="S1851" s="288"/>
      <c r="T1851" s="217"/>
      <c r="U1851" s="288"/>
      <c r="V1851" s="288"/>
      <c r="W1851" s="203"/>
      <c r="X1851" s="203"/>
    </row>
    <row r="1852" spans="1:24" ht="15" x14ac:dyDescent="0.2">
      <c r="A1852" s="746" t="s">
        <v>1385</v>
      </c>
      <c r="B1852" s="306" t="s">
        <v>204</v>
      </c>
      <c r="C1852" s="354" t="s">
        <v>608</v>
      </c>
      <c r="D1852" s="354" t="s">
        <v>607</v>
      </c>
      <c r="E1852" s="659">
        <v>8002182020</v>
      </c>
      <c r="F1852" s="659"/>
      <c r="G1852" s="591">
        <f t="shared" si="595"/>
        <v>600</v>
      </c>
      <c r="H1852" s="591">
        <f t="shared" si="595"/>
        <v>0</v>
      </c>
      <c r="I1852" s="591">
        <f t="shared" si="595"/>
        <v>600</v>
      </c>
      <c r="J1852" s="591">
        <f t="shared" si="595"/>
        <v>0</v>
      </c>
      <c r="K1852" s="255">
        <f t="shared" si="581"/>
        <v>0</v>
      </c>
      <c r="L1852" s="43">
        <f t="shared" si="582"/>
        <v>0</v>
      </c>
      <c r="M1852" s="217"/>
      <c r="N1852" s="170"/>
      <c r="R1852" s="288"/>
      <c r="S1852" s="288"/>
      <c r="T1852" s="217"/>
      <c r="U1852" s="288"/>
      <c r="V1852" s="288"/>
      <c r="W1852" s="203"/>
      <c r="X1852" s="203"/>
    </row>
    <row r="1853" spans="1:24" ht="15" x14ac:dyDescent="0.2">
      <c r="A1853" s="744" t="s">
        <v>834</v>
      </c>
      <c r="B1853" s="243" t="s">
        <v>204</v>
      </c>
      <c r="C1853" s="353" t="s">
        <v>608</v>
      </c>
      <c r="D1853" s="353" t="s">
        <v>607</v>
      </c>
      <c r="E1853" s="386">
        <v>8002182020</v>
      </c>
      <c r="F1853" s="369">
        <v>244</v>
      </c>
      <c r="G1853" s="288">
        <v>600</v>
      </c>
      <c r="H1853" s="288"/>
      <c r="I1853" s="288">
        <v>600</v>
      </c>
      <c r="J1853" s="288"/>
      <c r="K1853" s="255">
        <f t="shared" si="581"/>
        <v>0</v>
      </c>
      <c r="L1853" s="43">
        <f t="shared" si="582"/>
        <v>0</v>
      </c>
      <c r="M1853" s="217"/>
      <c r="N1853" s="170"/>
      <c r="R1853" s="288"/>
      <c r="S1853" s="288"/>
      <c r="T1853" s="217"/>
      <c r="U1853" s="288"/>
      <c r="V1853" s="288"/>
      <c r="W1853" s="203"/>
      <c r="X1853" s="203"/>
    </row>
    <row r="1854" spans="1:24" ht="41.25" hidden="1" customHeight="1" x14ac:dyDescent="0.2">
      <c r="A1854" s="451" t="s">
        <v>1543</v>
      </c>
      <c r="B1854" s="306" t="s">
        <v>204</v>
      </c>
      <c r="C1854" s="354" t="s">
        <v>608</v>
      </c>
      <c r="D1854" s="354" t="s">
        <v>607</v>
      </c>
      <c r="E1854" s="450">
        <v>8521100000</v>
      </c>
      <c r="F1854" s="450"/>
      <c r="G1854" s="498">
        <f>G1855</f>
        <v>0</v>
      </c>
      <c r="H1854" s="498">
        <f>H1855</f>
        <v>0</v>
      </c>
      <c r="I1854" s="591">
        <f>I1855</f>
        <v>0</v>
      </c>
      <c r="J1854" s="591">
        <f>J1855</f>
        <v>0</v>
      </c>
      <c r="K1854" s="591">
        <f t="shared" si="581"/>
        <v>0</v>
      </c>
      <c r="L1854" s="591">
        <f t="shared" si="582"/>
        <v>0</v>
      </c>
      <c r="M1854" s="217">
        <f t="shared" si="564"/>
        <v>0</v>
      </c>
      <c r="N1854" s="170"/>
      <c r="R1854" s="591">
        <f>R1855</f>
        <v>0</v>
      </c>
      <c r="S1854" s="591">
        <f>S1855</f>
        <v>0</v>
      </c>
      <c r="T1854" s="217"/>
      <c r="U1854" s="498">
        <f>U1855</f>
        <v>7498.125</v>
      </c>
      <c r="V1854" s="498">
        <f>V1855</f>
        <v>0</v>
      </c>
      <c r="W1854" s="203">
        <f t="shared" ref="W1854:W1861" si="596">G1854-I1854</f>
        <v>0</v>
      </c>
      <c r="X1854" s="203">
        <f t="shared" ref="X1854:X1861" si="597">K1854+W1854</f>
        <v>0</v>
      </c>
    </row>
    <row r="1855" spans="1:24" ht="24.75" hidden="1" customHeight="1" x14ac:dyDescent="0.2">
      <c r="A1855" s="451" t="s">
        <v>1543</v>
      </c>
      <c r="B1855" s="306" t="s">
        <v>204</v>
      </c>
      <c r="C1855" s="354" t="s">
        <v>608</v>
      </c>
      <c r="D1855" s="354" t="s">
        <v>607</v>
      </c>
      <c r="E1855" s="450" t="s">
        <v>1254</v>
      </c>
      <c r="F1855" s="450"/>
      <c r="G1855" s="498">
        <f>G1856+G1857</f>
        <v>0</v>
      </c>
      <c r="H1855" s="498">
        <f>H1856+H1857</f>
        <v>0</v>
      </c>
      <c r="I1855" s="591">
        <f>I1856+I1857</f>
        <v>0</v>
      </c>
      <c r="J1855" s="591">
        <f>J1856+J1857</f>
        <v>0</v>
      </c>
      <c r="K1855" s="591">
        <f t="shared" si="581"/>
        <v>0</v>
      </c>
      <c r="L1855" s="591">
        <f t="shared" si="582"/>
        <v>0</v>
      </c>
      <c r="M1855" s="217">
        <f t="shared" si="564"/>
        <v>0</v>
      </c>
      <c r="N1855" s="170"/>
      <c r="R1855" s="591">
        <f>R1856+R1857</f>
        <v>0</v>
      </c>
      <c r="S1855" s="591">
        <f>S1856+S1857</f>
        <v>0</v>
      </c>
      <c r="T1855" s="217"/>
      <c r="U1855" s="498">
        <f>U1856+U1857</f>
        <v>7498.125</v>
      </c>
      <c r="V1855" s="498">
        <f>V1856+V1857</f>
        <v>0</v>
      </c>
      <c r="W1855" s="203">
        <f t="shared" si="596"/>
        <v>0</v>
      </c>
      <c r="X1855" s="203">
        <f t="shared" si="597"/>
        <v>0</v>
      </c>
    </row>
    <row r="1856" spans="1:24" ht="23.25" hidden="1" customHeight="1" x14ac:dyDescent="0.2">
      <c r="A1856" s="124" t="s">
        <v>1543</v>
      </c>
      <c r="B1856" s="243" t="s">
        <v>204</v>
      </c>
      <c r="C1856" s="353" t="s">
        <v>608</v>
      </c>
      <c r="D1856" s="353" t="s">
        <v>607</v>
      </c>
      <c r="E1856" s="369" t="s">
        <v>1254</v>
      </c>
      <c r="F1856" s="369" t="s">
        <v>69</v>
      </c>
      <c r="G1856" s="288">
        <v>0</v>
      </c>
      <c r="H1856" s="288">
        <v>0</v>
      </c>
      <c r="I1856" s="288">
        <v>0</v>
      </c>
      <c r="J1856" s="288">
        <v>0</v>
      </c>
      <c r="K1856" s="43">
        <f t="shared" si="581"/>
        <v>0</v>
      </c>
      <c r="L1856" s="43">
        <f t="shared" si="582"/>
        <v>0</v>
      </c>
      <c r="M1856" s="217">
        <f t="shared" si="564"/>
        <v>0</v>
      </c>
      <c r="N1856" s="170"/>
      <c r="R1856" s="288">
        <v>0</v>
      </c>
      <c r="S1856" s="288">
        <v>0</v>
      </c>
      <c r="T1856" s="217"/>
      <c r="U1856" s="288">
        <v>0</v>
      </c>
      <c r="V1856" s="288">
        <v>0</v>
      </c>
      <c r="W1856" s="203">
        <f t="shared" si="596"/>
        <v>0</v>
      </c>
      <c r="X1856" s="203">
        <f t="shared" si="597"/>
        <v>0</v>
      </c>
    </row>
    <row r="1857" spans="1:24" ht="23.25" hidden="1" customHeight="1" x14ac:dyDescent="0.2">
      <c r="A1857" s="186" t="s">
        <v>1543</v>
      </c>
      <c r="B1857" s="243" t="s">
        <v>204</v>
      </c>
      <c r="C1857" s="353" t="s">
        <v>608</v>
      </c>
      <c r="D1857" s="353" t="s">
        <v>607</v>
      </c>
      <c r="E1857" s="369" t="s">
        <v>1254</v>
      </c>
      <c r="F1857" s="369">
        <v>622</v>
      </c>
      <c r="G1857" s="288"/>
      <c r="H1857" s="288"/>
      <c r="I1857" s="288"/>
      <c r="J1857" s="288"/>
      <c r="K1857" s="43">
        <f t="shared" si="581"/>
        <v>0</v>
      </c>
      <c r="L1857" s="43">
        <f t="shared" si="582"/>
        <v>0</v>
      </c>
      <c r="M1857" s="217">
        <f t="shared" si="564"/>
        <v>0</v>
      </c>
      <c r="N1857" s="170"/>
      <c r="R1857" s="288"/>
      <c r="S1857" s="288"/>
      <c r="T1857" s="217"/>
      <c r="U1857" s="288">
        <v>7498.125</v>
      </c>
      <c r="V1857" s="288">
        <v>0</v>
      </c>
      <c r="W1857" s="203">
        <f t="shared" si="596"/>
        <v>0</v>
      </c>
      <c r="X1857" s="203">
        <f t="shared" si="597"/>
        <v>0</v>
      </c>
    </row>
    <row r="1858" spans="1:24" ht="16.5" hidden="1" customHeight="1" x14ac:dyDescent="0.2">
      <c r="A1858" s="451" t="s">
        <v>1543</v>
      </c>
      <c r="B1858" s="306" t="s">
        <v>204</v>
      </c>
      <c r="C1858" s="354" t="s">
        <v>608</v>
      </c>
      <c r="D1858" s="354" t="s">
        <v>607</v>
      </c>
      <c r="E1858" s="450" t="s">
        <v>1036</v>
      </c>
      <c r="F1858" s="450"/>
      <c r="G1858" s="498">
        <f>G1859+G1862</f>
        <v>0</v>
      </c>
      <c r="H1858" s="498">
        <f>H1859+H1862</f>
        <v>0</v>
      </c>
      <c r="I1858" s="591">
        <f>I1859+I1862</f>
        <v>0</v>
      </c>
      <c r="J1858" s="591">
        <f>J1859+J1862</f>
        <v>0</v>
      </c>
      <c r="K1858" s="591">
        <f t="shared" ref="K1858:K1928" si="598">I1858-G1858</f>
        <v>0</v>
      </c>
      <c r="L1858" s="591">
        <f t="shared" ref="L1858:L1928" si="599">J1858-H1858</f>
        <v>0</v>
      </c>
      <c r="M1858" s="217">
        <f t="shared" si="564"/>
        <v>0</v>
      </c>
      <c r="N1858" s="170"/>
      <c r="R1858" s="591">
        <f>R1859+R1862</f>
        <v>0</v>
      </c>
      <c r="S1858" s="591">
        <f>S1859+S1862</f>
        <v>0</v>
      </c>
      <c r="T1858" s="217"/>
      <c r="U1858" s="498">
        <f>U1859+U1862</f>
        <v>32941.380060000003</v>
      </c>
      <c r="V1858" s="498">
        <f>V1859+V1862</f>
        <v>30345.5</v>
      </c>
      <c r="W1858" s="203">
        <f t="shared" si="596"/>
        <v>0</v>
      </c>
      <c r="X1858" s="203">
        <f t="shared" si="597"/>
        <v>0</v>
      </c>
    </row>
    <row r="1859" spans="1:24" ht="24.75" hidden="1" customHeight="1" x14ac:dyDescent="0.2">
      <c r="A1859" s="451" t="s">
        <v>1543</v>
      </c>
      <c r="B1859" s="306" t="s">
        <v>204</v>
      </c>
      <c r="C1859" s="354" t="s">
        <v>608</v>
      </c>
      <c r="D1859" s="354" t="s">
        <v>607</v>
      </c>
      <c r="E1859" s="506" t="s">
        <v>1406</v>
      </c>
      <c r="F1859" s="450"/>
      <c r="G1859" s="498">
        <f>G1860+G1861</f>
        <v>0</v>
      </c>
      <c r="H1859" s="498">
        <f>H1860+H1861</f>
        <v>0</v>
      </c>
      <c r="I1859" s="591">
        <f>I1860+I1861</f>
        <v>0</v>
      </c>
      <c r="J1859" s="591">
        <f>J1860+J1861</f>
        <v>0</v>
      </c>
      <c r="K1859" s="591">
        <f t="shared" si="598"/>
        <v>0</v>
      </c>
      <c r="L1859" s="591">
        <f t="shared" si="599"/>
        <v>0</v>
      </c>
      <c r="M1859" s="217">
        <f t="shared" ref="M1859:M1874" si="600">I1859-G1859-K1859</f>
        <v>0</v>
      </c>
      <c r="N1859" s="170"/>
      <c r="R1859" s="591">
        <f>R1860+R1861</f>
        <v>0</v>
      </c>
      <c r="S1859" s="591">
        <f>S1860+S1861</f>
        <v>0</v>
      </c>
      <c r="T1859" s="217"/>
      <c r="U1859" s="498">
        <f>U1860+U1861</f>
        <v>32941.380060000003</v>
      </c>
      <c r="V1859" s="498">
        <f>V1860+V1861</f>
        <v>30345.5</v>
      </c>
      <c r="W1859" s="203">
        <f t="shared" si="596"/>
        <v>0</v>
      </c>
      <c r="X1859" s="203">
        <f t="shared" si="597"/>
        <v>0</v>
      </c>
    </row>
    <row r="1860" spans="1:24" ht="24.75" hidden="1" customHeight="1" x14ac:dyDescent="0.2">
      <c r="A1860" s="124" t="s">
        <v>1543</v>
      </c>
      <c r="B1860" s="243" t="s">
        <v>204</v>
      </c>
      <c r="C1860" s="353" t="s">
        <v>608</v>
      </c>
      <c r="D1860" s="353" t="s">
        <v>607</v>
      </c>
      <c r="E1860" s="386" t="s">
        <v>1406</v>
      </c>
      <c r="F1860" s="369">
        <v>243</v>
      </c>
      <c r="G1860" s="288">
        <v>0</v>
      </c>
      <c r="H1860" s="288">
        <v>0</v>
      </c>
      <c r="I1860" s="288">
        <v>0</v>
      </c>
      <c r="J1860" s="288">
        <v>0</v>
      </c>
      <c r="K1860" s="43">
        <f t="shared" si="598"/>
        <v>0</v>
      </c>
      <c r="L1860" s="43">
        <f t="shared" si="599"/>
        <v>0</v>
      </c>
      <c r="M1860" s="217">
        <f t="shared" si="600"/>
        <v>0</v>
      </c>
      <c r="N1860" s="170"/>
      <c r="R1860" s="288">
        <v>0</v>
      </c>
      <c r="S1860" s="288">
        <v>0</v>
      </c>
      <c r="T1860" s="217"/>
      <c r="U1860" s="288">
        <v>0</v>
      </c>
      <c r="V1860" s="288">
        <v>0</v>
      </c>
      <c r="W1860" s="203">
        <f t="shared" si="596"/>
        <v>0</v>
      </c>
      <c r="X1860" s="203">
        <f t="shared" si="597"/>
        <v>0</v>
      </c>
    </row>
    <row r="1861" spans="1:24" ht="24.75" hidden="1" customHeight="1" x14ac:dyDescent="0.2">
      <c r="A1861" s="186" t="s">
        <v>1543</v>
      </c>
      <c r="B1861" s="243" t="s">
        <v>204</v>
      </c>
      <c r="C1861" s="353" t="s">
        <v>608</v>
      </c>
      <c r="D1861" s="353" t="s">
        <v>607</v>
      </c>
      <c r="E1861" s="386" t="s">
        <v>1406</v>
      </c>
      <c r="F1861" s="369">
        <v>622</v>
      </c>
      <c r="G1861" s="288"/>
      <c r="H1861" s="265"/>
      <c r="I1861" s="288"/>
      <c r="J1861" s="265"/>
      <c r="K1861" s="43">
        <f t="shared" si="598"/>
        <v>0</v>
      </c>
      <c r="L1861" s="43">
        <f t="shared" si="599"/>
        <v>0</v>
      </c>
      <c r="M1861" s="217">
        <f t="shared" si="600"/>
        <v>0</v>
      </c>
      <c r="N1861" s="170"/>
      <c r="R1861" s="288"/>
      <c r="S1861" s="265"/>
      <c r="T1861" s="217"/>
      <c r="U1861" s="288">
        <v>32941.380060000003</v>
      </c>
      <c r="V1861" s="265">
        <v>30345.5</v>
      </c>
      <c r="W1861" s="203">
        <f t="shared" si="596"/>
        <v>0</v>
      </c>
      <c r="X1861" s="203">
        <f t="shared" si="597"/>
        <v>0</v>
      </c>
    </row>
    <row r="1862" spans="1:24" ht="19.5" hidden="1" customHeight="1" x14ac:dyDescent="0.2">
      <c r="A1862" s="121" t="s">
        <v>1543</v>
      </c>
      <c r="B1862" s="388" t="s">
        <v>204</v>
      </c>
      <c r="C1862" s="389" t="s">
        <v>608</v>
      </c>
      <c r="D1862" s="389" t="s">
        <v>607</v>
      </c>
      <c r="E1862" s="450" t="s">
        <v>1238</v>
      </c>
      <c r="F1862" s="390"/>
      <c r="G1862" s="391">
        <f>G1863</f>
        <v>0</v>
      </c>
      <c r="H1862" s="391">
        <f>H1863</f>
        <v>0</v>
      </c>
      <c r="I1862" s="391">
        <f>I1863</f>
        <v>0</v>
      </c>
      <c r="J1862" s="391">
        <f>J1863</f>
        <v>0</v>
      </c>
      <c r="K1862" s="391">
        <f t="shared" si="598"/>
        <v>0</v>
      </c>
      <c r="L1862" s="391">
        <f t="shared" si="599"/>
        <v>0</v>
      </c>
      <c r="M1862" s="217">
        <f t="shared" si="600"/>
        <v>0</v>
      </c>
      <c r="N1862" s="170"/>
      <c r="R1862" s="391">
        <f>R1863</f>
        <v>0</v>
      </c>
      <c r="S1862" s="391">
        <f>S1863</f>
        <v>0</v>
      </c>
      <c r="T1862" s="217"/>
      <c r="U1862" s="391">
        <f>U1863</f>
        <v>0</v>
      </c>
      <c r="V1862" s="391">
        <f>V1863</f>
        <v>0</v>
      </c>
      <c r="W1862" s="203"/>
      <c r="X1862" s="203"/>
    </row>
    <row r="1863" spans="1:24" ht="24.75" hidden="1" customHeight="1" x14ac:dyDescent="0.2">
      <c r="A1863" s="124" t="s">
        <v>1543</v>
      </c>
      <c r="B1863" s="243" t="s">
        <v>204</v>
      </c>
      <c r="C1863" s="353" t="s">
        <v>608</v>
      </c>
      <c r="D1863" s="353" t="s">
        <v>607</v>
      </c>
      <c r="E1863" s="369" t="s">
        <v>1238</v>
      </c>
      <c r="F1863" s="369">
        <v>243</v>
      </c>
      <c r="G1863" s="288"/>
      <c r="H1863" s="288"/>
      <c r="I1863" s="288"/>
      <c r="J1863" s="288"/>
      <c r="K1863" s="43">
        <f t="shared" si="598"/>
        <v>0</v>
      </c>
      <c r="L1863" s="43">
        <f t="shared" si="599"/>
        <v>0</v>
      </c>
      <c r="M1863" s="217">
        <f t="shared" si="600"/>
        <v>0</v>
      </c>
      <c r="N1863" s="170"/>
      <c r="R1863" s="288"/>
      <c r="S1863" s="288"/>
      <c r="T1863" s="217"/>
      <c r="U1863" s="288"/>
      <c r="V1863" s="288"/>
      <c r="W1863" s="203"/>
      <c r="X1863" s="203"/>
    </row>
    <row r="1864" spans="1:24" ht="12" customHeight="1" x14ac:dyDescent="0.2">
      <c r="A1864" s="746" t="s">
        <v>1543</v>
      </c>
      <c r="B1864" s="306" t="s">
        <v>204</v>
      </c>
      <c r="C1864" s="354" t="s">
        <v>608</v>
      </c>
      <c r="D1864" s="354" t="s">
        <v>607</v>
      </c>
      <c r="E1864" s="450" t="s">
        <v>312</v>
      </c>
      <c r="F1864" s="450"/>
      <c r="G1864" s="591">
        <f>G1867+G1865</f>
        <v>0</v>
      </c>
      <c r="H1864" s="591">
        <f>H1867+H1865</f>
        <v>0</v>
      </c>
      <c r="I1864" s="591">
        <f>I1867+I1865</f>
        <v>2383.2099800000001</v>
      </c>
      <c r="J1864" s="591">
        <f>J1867+J1865</f>
        <v>0</v>
      </c>
      <c r="K1864" s="591">
        <f t="shared" si="598"/>
        <v>2383.2099800000001</v>
      </c>
      <c r="L1864" s="591">
        <f t="shared" si="599"/>
        <v>0</v>
      </c>
      <c r="M1864" s="217">
        <f t="shared" si="600"/>
        <v>0</v>
      </c>
      <c r="N1864" s="170">
        <f>N1867+N1865</f>
        <v>237.5</v>
      </c>
      <c r="R1864" s="591">
        <f>R1867+R1865</f>
        <v>0</v>
      </c>
      <c r="S1864" s="591">
        <f>S1867+S1865</f>
        <v>0</v>
      </c>
      <c r="T1864" s="217">
        <f>I1864-G1864</f>
        <v>2383.2099800000001</v>
      </c>
      <c r="U1864" s="498">
        <f>U1867+U1865</f>
        <v>16382.531999999999</v>
      </c>
      <c r="V1864" s="498">
        <f>V1867+V1865</f>
        <v>0</v>
      </c>
      <c r="W1864" s="203">
        <f t="shared" ref="W1864:W1872" si="601">G1864-I1864</f>
        <v>-2383.2099800000001</v>
      </c>
      <c r="X1864" s="203">
        <f t="shared" ref="X1864:X1872" si="602">K1864+W1864</f>
        <v>0</v>
      </c>
    </row>
    <row r="1865" spans="1:24" ht="27.75" hidden="1" customHeight="1" x14ac:dyDescent="0.2">
      <c r="A1865" s="520" t="s">
        <v>1543</v>
      </c>
      <c r="B1865" s="306" t="s">
        <v>204</v>
      </c>
      <c r="C1865" s="354" t="s">
        <v>608</v>
      </c>
      <c r="D1865" s="354" t="s">
        <v>607</v>
      </c>
      <c r="E1865" s="521" t="s">
        <v>1419</v>
      </c>
      <c r="F1865" s="450"/>
      <c r="G1865" s="498">
        <f>G1866</f>
        <v>0</v>
      </c>
      <c r="H1865" s="498">
        <f>H1866</f>
        <v>0</v>
      </c>
      <c r="I1865" s="591">
        <f>I1866</f>
        <v>0</v>
      </c>
      <c r="J1865" s="591">
        <f>J1866</f>
        <v>0</v>
      </c>
      <c r="K1865" s="591">
        <f t="shared" si="598"/>
        <v>0</v>
      </c>
      <c r="L1865" s="591">
        <f t="shared" si="599"/>
        <v>0</v>
      </c>
      <c r="M1865" s="217">
        <f t="shared" si="600"/>
        <v>0</v>
      </c>
      <c r="N1865" s="170">
        <f>N1866</f>
        <v>0</v>
      </c>
      <c r="R1865" s="591">
        <f>R1866</f>
        <v>0</v>
      </c>
      <c r="S1865" s="591">
        <f>S1866</f>
        <v>0</v>
      </c>
      <c r="T1865" s="217">
        <f>I1865-G1865</f>
        <v>0</v>
      </c>
      <c r="U1865" s="498">
        <f>U1866</f>
        <v>11001.5952</v>
      </c>
      <c r="V1865" s="498">
        <f>V1866</f>
        <v>0</v>
      </c>
      <c r="W1865" s="203">
        <f t="shared" si="601"/>
        <v>0</v>
      </c>
      <c r="X1865" s="203">
        <f t="shared" si="602"/>
        <v>0</v>
      </c>
    </row>
    <row r="1866" spans="1:24" ht="27" hidden="1" customHeight="1" x14ac:dyDescent="0.2">
      <c r="A1866" s="186" t="s">
        <v>1543</v>
      </c>
      <c r="B1866" s="243" t="s">
        <v>204</v>
      </c>
      <c r="C1866" s="353" t="s">
        <v>608</v>
      </c>
      <c r="D1866" s="353" t="s">
        <v>607</v>
      </c>
      <c r="E1866" s="369" t="s">
        <v>1419</v>
      </c>
      <c r="F1866" s="369">
        <v>244</v>
      </c>
      <c r="G1866" s="288">
        <v>0</v>
      </c>
      <c r="H1866" s="288">
        <v>0</v>
      </c>
      <c r="I1866" s="288">
        <v>0</v>
      </c>
      <c r="J1866" s="288">
        <v>0</v>
      </c>
      <c r="K1866" s="43">
        <f t="shared" si="598"/>
        <v>0</v>
      </c>
      <c r="L1866" s="43">
        <f t="shared" si="599"/>
        <v>0</v>
      </c>
      <c r="M1866" s="217">
        <f t="shared" si="600"/>
        <v>0</v>
      </c>
      <c r="N1866" s="171">
        <v>0</v>
      </c>
      <c r="R1866" s="288">
        <v>0</v>
      </c>
      <c r="S1866" s="288">
        <v>0</v>
      </c>
      <c r="T1866" s="217">
        <f>I1866-G1866</f>
        <v>0</v>
      </c>
      <c r="U1866" s="288">
        <v>11001.5952</v>
      </c>
      <c r="V1866" s="288">
        <v>0</v>
      </c>
      <c r="W1866" s="203">
        <f t="shared" si="601"/>
        <v>0</v>
      </c>
      <c r="X1866" s="203">
        <f t="shared" si="602"/>
        <v>0</v>
      </c>
    </row>
    <row r="1867" spans="1:24" s="188" customFormat="1" ht="26.25" customHeight="1" x14ac:dyDescent="0.2">
      <c r="A1867" s="746" t="s">
        <v>1663</v>
      </c>
      <c r="B1867" s="306" t="s">
        <v>204</v>
      </c>
      <c r="C1867" s="354" t="s">
        <v>608</v>
      </c>
      <c r="D1867" s="354" t="s">
        <v>607</v>
      </c>
      <c r="E1867" s="521" t="s">
        <v>1041</v>
      </c>
      <c r="F1867" s="450"/>
      <c r="G1867" s="591">
        <f>G1868</f>
        <v>0</v>
      </c>
      <c r="H1867" s="591">
        <f>H1868</f>
        <v>0</v>
      </c>
      <c r="I1867" s="591">
        <f>I1868</f>
        <v>2383.2099800000001</v>
      </c>
      <c r="J1867" s="591">
        <f>J1868</f>
        <v>0</v>
      </c>
      <c r="K1867" s="591">
        <f t="shared" si="598"/>
        <v>2383.2099800000001</v>
      </c>
      <c r="L1867" s="591">
        <f t="shared" si="599"/>
        <v>0</v>
      </c>
      <c r="M1867" s="217">
        <f t="shared" si="600"/>
        <v>0</v>
      </c>
      <c r="N1867" s="170">
        <f>N1868</f>
        <v>237.5</v>
      </c>
      <c r="R1867" s="591">
        <f>R1868</f>
        <v>0</v>
      </c>
      <c r="S1867" s="591">
        <f>S1868</f>
        <v>0</v>
      </c>
      <c r="T1867" s="217">
        <f>I1867-G1867</f>
        <v>2383.2099800000001</v>
      </c>
      <c r="U1867" s="498">
        <f>U1868</f>
        <v>5380.9368000000004</v>
      </c>
      <c r="V1867" s="498">
        <f>V1868</f>
        <v>0</v>
      </c>
      <c r="W1867" s="203">
        <f t="shared" si="601"/>
        <v>-2383.2099800000001</v>
      </c>
      <c r="X1867" s="203">
        <f t="shared" si="602"/>
        <v>0</v>
      </c>
    </row>
    <row r="1868" spans="1:24" s="188" customFormat="1" ht="24" customHeight="1" x14ac:dyDescent="0.2">
      <c r="A1868" s="744" t="s">
        <v>1553</v>
      </c>
      <c r="B1868" s="243" t="s">
        <v>204</v>
      </c>
      <c r="C1868" s="353" t="s">
        <v>608</v>
      </c>
      <c r="D1868" s="353" t="s">
        <v>607</v>
      </c>
      <c r="E1868" s="386" t="s">
        <v>1041</v>
      </c>
      <c r="F1868" s="369">
        <v>622</v>
      </c>
      <c r="G1868" s="288">
        <v>0</v>
      </c>
      <c r="H1868" s="288">
        <v>0</v>
      </c>
      <c r="I1868" s="288">
        <v>2383.2099800000001</v>
      </c>
      <c r="J1868" s="288">
        <v>0</v>
      </c>
      <c r="K1868" s="43">
        <f t="shared" si="598"/>
        <v>2383.2099800000001</v>
      </c>
      <c r="L1868" s="43">
        <f t="shared" si="599"/>
        <v>0</v>
      </c>
      <c r="M1868" s="217">
        <f t="shared" si="600"/>
        <v>0</v>
      </c>
      <c r="N1868" s="171">
        <v>237.5</v>
      </c>
      <c r="R1868" s="288">
        <v>0</v>
      </c>
      <c r="S1868" s="288">
        <v>0</v>
      </c>
      <c r="T1868" s="217">
        <f>I1868-G1868</f>
        <v>2383.2099800000001</v>
      </c>
      <c r="U1868" s="288">
        <v>5380.9368000000004</v>
      </c>
      <c r="V1868" s="288">
        <v>0</v>
      </c>
      <c r="W1868" s="203">
        <f t="shared" si="601"/>
        <v>-2383.2099800000001</v>
      </c>
      <c r="X1868" s="203">
        <f t="shared" si="602"/>
        <v>0</v>
      </c>
    </row>
    <row r="1869" spans="1:24" s="188" customFormat="1" ht="14.25" customHeight="1" x14ac:dyDescent="0.2">
      <c r="A1869" s="746" t="s">
        <v>1072</v>
      </c>
      <c r="B1869" s="306" t="s">
        <v>204</v>
      </c>
      <c r="C1869" s="354" t="s">
        <v>608</v>
      </c>
      <c r="D1869" s="354" t="s">
        <v>611</v>
      </c>
      <c r="E1869" s="450"/>
      <c r="F1869" s="450"/>
      <c r="G1869" s="591">
        <f>G1870+G1886+G1877</f>
        <v>360</v>
      </c>
      <c r="H1869" s="591">
        <f>H1870+H1886+H1877</f>
        <v>0</v>
      </c>
      <c r="I1869" s="591">
        <f>I1870+I1886+I1877</f>
        <v>360</v>
      </c>
      <c r="J1869" s="591">
        <f>J1870+J1886+J1877</f>
        <v>0</v>
      </c>
      <c r="K1869" s="591">
        <f t="shared" si="598"/>
        <v>0</v>
      </c>
      <c r="L1869" s="591">
        <f t="shared" si="599"/>
        <v>0</v>
      </c>
      <c r="M1869" s="217">
        <f t="shared" si="600"/>
        <v>0</v>
      </c>
      <c r="N1869" s="171"/>
      <c r="R1869" s="591">
        <f>R1870+R1886</f>
        <v>15148.6</v>
      </c>
      <c r="S1869" s="591">
        <f>S1870+S1886</f>
        <v>14817</v>
      </c>
      <c r="T1869" s="217"/>
      <c r="U1869" s="498">
        <f>U1870</f>
        <v>0</v>
      </c>
      <c r="V1869" s="498">
        <f>V1870</f>
        <v>0</v>
      </c>
      <c r="W1869" s="203">
        <f t="shared" si="601"/>
        <v>0</v>
      </c>
      <c r="X1869" s="203">
        <f t="shared" si="602"/>
        <v>0</v>
      </c>
    </row>
    <row r="1870" spans="1:24" s="188" customFormat="1" ht="26.25" hidden="1" customHeight="1" x14ac:dyDescent="0.2">
      <c r="A1870" s="451" t="s">
        <v>1665</v>
      </c>
      <c r="B1870" s="306" t="s">
        <v>204</v>
      </c>
      <c r="C1870" s="354" t="s">
        <v>608</v>
      </c>
      <c r="D1870" s="354" t="s">
        <v>611</v>
      </c>
      <c r="E1870" s="450">
        <v>8100000000</v>
      </c>
      <c r="F1870" s="450"/>
      <c r="G1870" s="498">
        <f t="shared" ref="G1870:J1871" si="603">G1871</f>
        <v>0</v>
      </c>
      <c r="H1870" s="591">
        <f t="shared" si="603"/>
        <v>0</v>
      </c>
      <c r="I1870" s="591">
        <f t="shared" si="603"/>
        <v>0</v>
      </c>
      <c r="J1870" s="591">
        <f t="shared" si="603"/>
        <v>0</v>
      </c>
      <c r="K1870" s="591">
        <f t="shared" si="598"/>
        <v>0</v>
      </c>
      <c r="L1870" s="591">
        <f t="shared" si="599"/>
        <v>0</v>
      </c>
      <c r="M1870" s="217">
        <f t="shared" si="600"/>
        <v>0</v>
      </c>
      <c r="N1870" s="171"/>
      <c r="R1870" s="591">
        <f>R1871</f>
        <v>14966.6</v>
      </c>
      <c r="S1870" s="591">
        <f>S1871</f>
        <v>14817</v>
      </c>
      <c r="T1870" s="217"/>
      <c r="U1870" s="498">
        <f>U1871+U1873</f>
        <v>0</v>
      </c>
      <c r="V1870" s="498">
        <f>V1871+V1873</f>
        <v>0</v>
      </c>
      <c r="W1870" s="203">
        <f t="shared" si="601"/>
        <v>0</v>
      </c>
      <c r="X1870" s="203">
        <f t="shared" si="602"/>
        <v>0</v>
      </c>
    </row>
    <row r="1871" spans="1:24" s="188" customFormat="1" ht="24" hidden="1" customHeight="1" x14ac:dyDescent="0.2">
      <c r="A1871" s="451" t="s">
        <v>1666</v>
      </c>
      <c r="B1871" s="306" t="s">
        <v>204</v>
      </c>
      <c r="C1871" s="354" t="s">
        <v>608</v>
      </c>
      <c r="D1871" s="354" t="s">
        <v>611</v>
      </c>
      <c r="E1871" s="450">
        <v>8150000000</v>
      </c>
      <c r="F1871" s="450"/>
      <c r="G1871" s="498">
        <f t="shared" si="603"/>
        <v>0</v>
      </c>
      <c r="H1871" s="591">
        <f t="shared" si="603"/>
        <v>0</v>
      </c>
      <c r="I1871" s="591">
        <f t="shared" si="603"/>
        <v>0</v>
      </c>
      <c r="J1871" s="591">
        <f t="shared" si="603"/>
        <v>0</v>
      </c>
      <c r="K1871" s="591">
        <f t="shared" si="598"/>
        <v>0</v>
      </c>
      <c r="L1871" s="591">
        <f t="shared" si="599"/>
        <v>0</v>
      </c>
      <c r="M1871" s="217">
        <f t="shared" si="600"/>
        <v>0</v>
      </c>
      <c r="N1871" s="171"/>
      <c r="R1871" s="591">
        <f>R1872</f>
        <v>14966.6</v>
      </c>
      <c r="S1871" s="591">
        <f>S1872</f>
        <v>14817</v>
      </c>
      <c r="T1871" s="217"/>
      <c r="U1871" s="498">
        <f>U1872</f>
        <v>0</v>
      </c>
      <c r="V1871" s="498">
        <f>V1872</f>
        <v>0</v>
      </c>
      <c r="W1871" s="203">
        <f t="shared" si="601"/>
        <v>0</v>
      </c>
      <c r="X1871" s="203">
        <f t="shared" si="602"/>
        <v>0</v>
      </c>
    </row>
    <row r="1872" spans="1:24" s="188" customFormat="1" ht="17.25" hidden="1" customHeight="1" x14ac:dyDescent="0.2">
      <c r="A1872" s="121" t="s">
        <v>1667</v>
      </c>
      <c r="B1872" s="388" t="s">
        <v>204</v>
      </c>
      <c r="C1872" s="389" t="s">
        <v>608</v>
      </c>
      <c r="D1872" s="389" t="s">
        <v>611</v>
      </c>
      <c r="E1872" s="390">
        <v>8150100000</v>
      </c>
      <c r="F1872" s="390"/>
      <c r="G1872" s="391">
        <f>G1873+G1875</f>
        <v>0</v>
      </c>
      <c r="H1872" s="391">
        <f>H1873+H1875</f>
        <v>0</v>
      </c>
      <c r="I1872" s="391">
        <f>I1873+I1875</f>
        <v>0</v>
      </c>
      <c r="J1872" s="391">
        <f>J1873+J1875</f>
        <v>0</v>
      </c>
      <c r="K1872" s="391">
        <f t="shared" si="598"/>
        <v>0</v>
      </c>
      <c r="L1872" s="391">
        <f t="shared" si="599"/>
        <v>0</v>
      </c>
      <c r="M1872" s="217">
        <f t="shared" si="600"/>
        <v>0</v>
      </c>
      <c r="N1872" s="171"/>
      <c r="R1872" s="391">
        <f>R1873+R1875</f>
        <v>14966.6</v>
      </c>
      <c r="S1872" s="391">
        <f>S1873+S1875</f>
        <v>14817</v>
      </c>
      <c r="T1872" s="217"/>
      <c r="U1872" s="288"/>
      <c r="V1872" s="288"/>
      <c r="W1872" s="203">
        <f t="shared" si="601"/>
        <v>0</v>
      </c>
      <c r="X1872" s="203">
        <f t="shared" si="602"/>
        <v>0</v>
      </c>
    </row>
    <row r="1873" spans="1:24" s="188" customFormat="1" ht="49.5" hidden="1" customHeight="1" x14ac:dyDescent="0.2">
      <c r="A1873" s="121" t="s">
        <v>1587</v>
      </c>
      <c r="B1873" s="388" t="s">
        <v>204</v>
      </c>
      <c r="C1873" s="389" t="s">
        <v>608</v>
      </c>
      <c r="D1873" s="389" t="s">
        <v>611</v>
      </c>
      <c r="E1873" s="390">
        <v>8150155050</v>
      </c>
      <c r="F1873" s="390"/>
      <c r="G1873" s="391">
        <f>G1874</f>
        <v>0</v>
      </c>
      <c r="H1873" s="391">
        <f>H1874</f>
        <v>0</v>
      </c>
      <c r="I1873" s="391">
        <f>I1874</f>
        <v>0</v>
      </c>
      <c r="J1873" s="391">
        <f>J1874</f>
        <v>0</v>
      </c>
      <c r="K1873" s="391">
        <f t="shared" si="598"/>
        <v>0</v>
      </c>
      <c r="L1873" s="391">
        <f t="shared" si="599"/>
        <v>0</v>
      </c>
      <c r="M1873" s="217">
        <f t="shared" si="600"/>
        <v>0</v>
      </c>
      <c r="N1873" s="171"/>
      <c r="R1873" s="391">
        <f>R1874</f>
        <v>14817</v>
      </c>
      <c r="S1873" s="391">
        <f>S1874</f>
        <v>14817</v>
      </c>
      <c r="T1873" s="217"/>
      <c r="U1873" s="391">
        <f>U1874</f>
        <v>0</v>
      </c>
      <c r="V1873" s="391">
        <f>V1874</f>
        <v>0</v>
      </c>
      <c r="W1873" s="203"/>
      <c r="X1873" s="203"/>
    </row>
    <row r="1874" spans="1:24" s="188" customFormat="1" ht="17.25" hidden="1" customHeight="1" x14ac:dyDescent="0.2">
      <c r="A1874" s="124" t="s">
        <v>1584</v>
      </c>
      <c r="B1874" s="243" t="s">
        <v>204</v>
      </c>
      <c r="C1874" s="353" t="s">
        <v>608</v>
      </c>
      <c r="D1874" s="353" t="s">
        <v>611</v>
      </c>
      <c r="E1874" s="369">
        <v>8150155050</v>
      </c>
      <c r="F1874" s="369">
        <v>540</v>
      </c>
      <c r="G1874" s="288"/>
      <c r="H1874" s="288"/>
      <c r="I1874" s="288"/>
      <c r="J1874" s="288"/>
      <c r="K1874" s="43">
        <f t="shared" si="598"/>
        <v>0</v>
      </c>
      <c r="L1874" s="43">
        <f t="shared" si="599"/>
        <v>0</v>
      </c>
      <c r="M1874" s="217">
        <f t="shared" si="600"/>
        <v>0</v>
      </c>
      <c r="N1874" s="171"/>
      <c r="R1874" s="288">
        <v>14817</v>
      </c>
      <c r="S1874" s="288">
        <v>14817</v>
      </c>
      <c r="T1874" s="217"/>
      <c r="U1874" s="288">
        <v>0</v>
      </c>
      <c r="V1874" s="288"/>
      <c r="W1874" s="203"/>
      <c r="X1874" s="203"/>
    </row>
    <row r="1875" spans="1:24" s="188" customFormat="1" ht="36.75" hidden="1" customHeight="1" x14ac:dyDescent="0.2">
      <c r="A1875" s="121" t="s">
        <v>1588</v>
      </c>
      <c r="B1875" s="388" t="s">
        <v>204</v>
      </c>
      <c r="C1875" s="389" t="s">
        <v>608</v>
      </c>
      <c r="D1875" s="389" t="s">
        <v>611</v>
      </c>
      <c r="E1875" s="390">
        <v>8150174330</v>
      </c>
      <c r="F1875" s="390"/>
      <c r="G1875" s="391">
        <f>G1876</f>
        <v>0</v>
      </c>
      <c r="H1875" s="391">
        <f>H1876</f>
        <v>0</v>
      </c>
      <c r="I1875" s="391">
        <f>I1876</f>
        <v>0</v>
      </c>
      <c r="J1875" s="391">
        <f>J1876</f>
        <v>0</v>
      </c>
      <c r="K1875" s="391">
        <f t="shared" si="598"/>
        <v>0</v>
      </c>
      <c r="L1875" s="391">
        <f t="shared" si="599"/>
        <v>0</v>
      </c>
      <c r="M1875" s="217"/>
      <c r="N1875" s="171"/>
      <c r="R1875" s="391">
        <f>R1876</f>
        <v>149.6</v>
      </c>
      <c r="S1875" s="391">
        <f>S1876</f>
        <v>0</v>
      </c>
      <c r="T1875" s="217"/>
      <c r="U1875" s="288"/>
      <c r="V1875" s="288"/>
      <c r="W1875" s="203"/>
      <c r="X1875" s="203"/>
    </row>
    <row r="1876" spans="1:24" s="188" customFormat="1" ht="18" hidden="1" customHeight="1" x14ac:dyDescent="0.2">
      <c r="A1876" s="124" t="s">
        <v>1584</v>
      </c>
      <c r="B1876" s="243" t="s">
        <v>204</v>
      </c>
      <c r="C1876" s="353" t="s">
        <v>608</v>
      </c>
      <c r="D1876" s="353" t="s">
        <v>611</v>
      </c>
      <c r="E1876" s="369">
        <v>8150174330</v>
      </c>
      <c r="F1876" s="369">
        <v>540</v>
      </c>
      <c r="G1876" s="288"/>
      <c r="H1876" s="288"/>
      <c r="I1876" s="288"/>
      <c r="J1876" s="288"/>
      <c r="K1876" s="43">
        <f t="shared" si="598"/>
        <v>0</v>
      </c>
      <c r="L1876" s="43">
        <f t="shared" si="599"/>
        <v>0</v>
      </c>
      <c r="M1876" s="217"/>
      <c r="N1876" s="171"/>
      <c r="R1876" s="288">
        <v>149.6</v>
      </c>
      <c r="S1876" s="288"/>
      <c r="T1876" s="217"/>
      <c r="U1876" s="288"/>
      <c r="V1876" s="288"/>
      <c r="W1876" s="203"/>
      <c r="X1876" s="203"/>
    </row>
    <row r="1877" spans="1:24" s="188" customFormat="1" ht="18" customHeight="1" x14ac:dyDescent="0.2">
      <c r="A1877" s="741" t="s">
        <v>1710</v>
      </c>
      <c r="B1877" s="388" t="s">
        <v>204</v>
      </c>
      <c r="C1877" s="389" t="s">
        <v>608</v>
      </c>
      <c r="D1877" s="389" t="s">
        <v>611</v>
      </c>
      <c r="E1877" s="390">
        <v>8500000000</v>
      </c>
      <c r="F1877" s="390"/>
      <c r="G1877" s="391">
        <f>G1878+G1882</f>
        <v>360</v>
      </c>
      <c r="H1877" s="391">
        <f t="shared" ref="H1877:L1877" si="604">H1878+H1882</f>
        <v>0</v>
      </c>
      <c r="I1877" s="391">
        <f t="shared" si="604"/>
        <v>360</v>
      </c>
      <c r="J1877" s="391">
        <f t="shared" si="604"/>
        <v>0</v>
      </c>
      <c r="K1877" s="391">
        <f t="shared" si="604"/>
        <v>0</v>
      </c>
      <c r="L1877" s="391">
        <f t="shared" si="604"/>
        <v>0</v>
      </c>
      <c r="M1877" s="217"/>
      <c r="N1877" s="171"/>
      <c r="R1877" s="288"/>
      <c r="S1877" s="288"/>
      <c r="T1877" s="217"/>
      <c r="U1877" s="288"/>
      <c r="V1877" s="288"/>
      <c r="W1877" s="203"/>
      <c r="X1877" s="203"/>
    </row>
    <row r="1878" spans="1:24" s="188" customFormat="1" ht="18" hidden="1" customHeight="1" x14ac:dyDescent="0.2">
      <c r="A1878" s="121" t="s">
        <v>1727</v>
      </c>
      <c r="B1878" s="388" t="s">
        <v>204</v>
      </c>
      <c r="C1878" s="389" t="s">
        <v>608</v>
      </c>
      <c r="D1878" s="389" t="s">
        <v>611</v>
      </c>
      <c r="E1878" s="515">
        <v>8530000000</v>
      </c>
      <c r="F1878" s="390"/>
      <c r="G1878" s="391">
        <f t="shared" ref="G1878:J1880" si="605">G1879</f>
        <v>0</v>
      </c>
      <c r="H1878" s="391">
        <f t="shared" si="605"/>
        <v>0</v>
      </c>
      <c r="I1878" s="391">
        <f t="shared" si="605"/>
        <v>0</v>
      </c>
      <c r="J1878" s="391">
        <f t="shared" si="605"/>
        <v>0</v>
      </c>
      <c r="K1878" s="43">
        <f t="shared" si="598"/>
        <v>0</v>
      </c>
      <c r="L1878" s="43">
        <f t="shared" si="599"/>
        <v>0</v>
      </c>
      <c r="M1878" s="217"/>
      <c r="N1878" s="171"/>
      <c r="R1878" s="288"/>
      <c r="S1878" s="288"/>
      <c r="T1878" s="217"/>
      <c r="U1878" s="288"/>
      <c r="V1878" s="288"/>
      <c r="W1878" s="203"/>
      <c r="X1878" s="203"/>
    </row>
    <row r="1879" spans="1:24" s="188" customFormat="1" ht="27" hidden="1" customHeight="1" x14ac:dyDescent="0.2">
      <c r="A1879" s="121" t="s">
        <v>1880</v>
      </c>
      <c r="B1879" s="388" t="s">
        <v>204</v>
      </c>
      <c r="C1879" s="389" t="s">
        <v>608</v>
      </c>
      <c r="D1879" s="389" t="s">
        <v>611</v>
      </c>
      <c r="E1879" s="515">
        <v>8531200000</v>
      </c>
      <c r="F1879" s="390"/>
      <c r="G1879" s="391">
        <f t="shared" si="605"/>
        <v>0</v>
      </c>
      <c r="H1879" s="391">
        <f t="shared" si="605"/>
        <v>0</v>
      </c>
      <c r="I1879" s="391">
        <f t="shared" si="605"/>
        <v>0</v>
      </c>
      <c r="J1879" s="391">
        <f t="shared" si="605"/>
        <v>0</v>
      </c>
      <c r="K1879" s="43">
        <f t="shared" si="598"/>
        <v>0</v>
      </c>
      <c r="L1879" s="43">
        <f t="shared" si="599"/>
        <v>0</v>
      </c>
      <c r="M1879" s="217"/>
      <c r="N1879" s="171"/>
      <c r="R1879" s="288"/>
      <c r="S1879" s="288"/>
      <c r="T1879" s="217"/>
      <c r="U1879" s="288"/>
      <c r="V1879" s="288"/>
      <c r="W1879" s="203"/>
      <c r="X1879" s="203"/>
    </row>
    <row r="1880" spans="1:24" s="188" customFormat="1" ht="51.75" hidden="1" customHeight="1" x14ac:dyDescent="0.2">
      <c r="A1880" s="133" t="s">
        <v>1891</v>
      </c>
      <c r="B1880" s="388" t="s">
        <v>204</v>
      </c>
      <c r="C1880" s="389" t="s">
        <v>608</v>
      </c>
      <c r="D1880" s="389" t="s">
        <v>611</v>
      </c>
      <c r="E1880" s="515" t="s">
        <v>1890</v>
      </c>
      <c r="F1880" s="390"/>
      <c r="G1880" s="391">
        <f t="shared" si="605"/>
        <v>0</v>
      </c>
      <c r="H1880" s="391">
        <f t="shared" si="605"/>
        <v>0</v>
      </c>
      <c r="I1880" s="391">
        <f t="shared" si="605"/>
        <v>0</v>
      </c>
      <c r="J1880" s="391">
        <f t="shared" si="605"/>
        <v>0</v>
      </c>
      <c r="K1880" s="43">
        <f t="shared" si="598"/>
        <v>0</v>
      </c>
      <c r="L1880" s="43">
        <f t="shared" si="599"/>
        <v>0</v>
      </c>
      <c r="M1880" s="217"/>
      <c r="N1880" s="171"/>
      <c r="R1880" s="288"/>
      <c r="S1880" s="288"/>
      <c r="T1880" s="217"/>
      <c r="U1880" s="288"/>
      <c r="V1880" s="288"/>
      <c r="W1880" s="203"/>
      <c r="X1880" s="203"/>
    </row>
    <row r="1881" spans="1:24" s="188" customFormat="1" ht="18" hidden="1" customHeight="1" x14ac:dyDescent="0.2">
      <c r="A1881" s="186" t="s">
        <v>834</v>
      </c>
      <c r="B1881" s="243" t="s">
        <v>204</v>
      </c>
      <c r="C1881" s="353" t="s">
        <v>608</v>
      </c>
      <c r="D1881" s="353" t="s">
        <v>611</v>
      </c>
      <c r="E1881" s="369" t="s">
        <v>1890</v>
      </c>
      <c r="F1881" s="369">
        <v>244</v>
      </c>
      <c r="G1881" s="288">
        <v>0</v>
      </c>
      <c r="H1881" s="288">
        <v>0</v>
      </c>
      <c r="I1881" s="288">
        <v>0</v>
      </c>
      <c r="J1881" s="288">
        <v>0</v>
      </c>
      <c r="K1881" s="43">
        <f t="shared" si="598"/>
        <v>0</v>
      </c>
      <c r="L1881" s="43">
        <f t="shared" si="599"/>
        <v>0</v>
      </c>
      <c r="M1881" s="217"/>
      <c r="N1881" s="171"/>
      <c r="R1881" s="288"/>
      <c r="S1881" s="288"/>
      <c r="T1881" s="217"/>
      <c r="U1881" s="288"/>
      <c r="V1881" s="288"/>
      <c r="W1881" s="203"/>
      <c r="X1881" s="203"/>
    </row>
    <row r="1882" spans="1:24" s="188" customFormat="1" ht="24" customHeight="1" x14ac:dyDescent="0.2">
      <c r="A1882" s="741" t="s">
        <v>1985</v>
      </c>
      <c r="B1882" s="388" t="s">
        <v>204</v>
      </c>
      <c r="C1882" s="389" t="s">
        <v>608</v>
      </c>
      <c r="D1882" s="389" t="s">
        <v>611</v>
      </c>
      <c r="E1882" s="390">
        <v>8540000000</v>
      </c>
      <c r="F1882" s="390"/>
      <c r="G1882" s="391">
        <f>G1883</f>
        <v>360</v>
      </c>
      <c r="H1882" s="391">
        <f t="shared" ref="H1882:L1884" si="606">H1883</f>
        <v>0</v>
      </c>
      <c r="I1882" s="391">
        <f t="shared" si="606"/>
        <v>360</v>
      </c>
      <c r="J1882" s="391">
        <f t="shared" si="606"/>
        <v>0</v>
      </c>
      <c r="K1882" s="391">
        <f t="shared" si="606"/>
        <v>0</v>
      </c>
      <c r="L1882" s="391">
        <f t="shared" si="606"/>
        <v>0</v>
      </c>
      <c r="M1882" s="217"/>
      <c r="N1882" s="171"/>
      <c r="R1882" s="288"/>
      <c r="S1882" s="288"/>
      <c r="T1882" s="217"/>
      <c r="U1882" s="288"/>
      <c r="V1882" s="288"/>
      <c r="W1882" s="203"/>
      <c r="X1882" s="203"/>
    </row>
    <row r="1883" spans="1:24" s="188" customFormat="1" ht="40.5" customHeight="1" x14ac:dyDescent="0.2">
      <c r="A1883" s="741" t="s">
        <v>1986</v>
      </c>
      <c r="B1883" s="388" t="s">
        <v>204</v>
      </c>
      <c r="C1883" s="389" t="s">
        <v>608</v>
      </c>
      <c r="D1883" s="389" t="s">
        <v>611</v>
      </c>
      <c r="E1883" s="390">
        <v>8540400000</v>
      </c>
      <c r="F1883" s="390"/>
      <c r="G1883" s="391">
        <f>G1884</f>
        <v>360</v>
      </c>
      <c r="H1883" s="391">
        <f t="shared" si="606"/>
        <v>0</v>
      </c>
      <c r="I1883" s="391">
        <f t="shared" si="606"/>
        <v>360</v>
      </c>
      <c r="J1883" s="391">
        <f t="shared" si="606"/>
        <v>0</v>
      </c>
      <c r="K1883" s="391">
        <f t="shared" si="606"/>
        <v>0</v>
      </c>
      <c r="L1883" s="391">
        <f t="shared" si="606"/>
        <v>0</v>
      </c>
      <c r="M1883" s="217"/>
      <c r="N1883" s="171"/>
      <c r="R1883" s="288"/>
      <c r="S1883" s="288"/>
      <c r="T1883" s="217"/>
      <c r="U1883" s="288"/>
      <c r="V1883" s="288"/>
      <c r="W1883" s="203"/>
      <c r="X1883" s="203"/>
    </row>
    <row r="1884" spans="1:24" s="188" customFormat="1" ht="24.75" customHeight="1" x14ac:dyDescent="0.2">
      <c r="A1884" s="741" t="s">
        <v>1883</v>
      </c>
      <c r="B1884" s="388" t="s">
        <v>204</v>
      </c>
      <c r="C1884" s="389" t="s">
        <v>608</v>
      </c>
      <c r="D1884" s="389" t="s">
        <v>611</v>
      </c>
      <c r="E1884" s="390">
        <v>8540482340</v>
      </c>
      <c r="F1884" s="390"/>
      <c r="G1884" s="391">
        <f>G1885</f>
        <v>360</v>
      </c>
      <c r="H1884" s="391">
        <f t="shared" si="606"/>
        <v>0</v>
      </c>
      <c r="I1884" s="391">
        <f t="shared" si="606"/>
        <v>360</v>
      </c>
      <c r="J1884" s="391">
        <f t="shared" si="606"/>
        <v>0</v>
      </c>
      <c r="K1884" s="391">
        <f t="shared" si="606"/>
        <v>0</v>
      </c>
      <c r="L1884" s="391">
        <f t="shared" si="606"/>
        <v>0</v>
      </c>
      <c r="M1884" s="217"/>
      <c r="N1884" s="171"/>
      <c r="R1884" s="288"/>
      <c r="S1884" s="288"/>
      <c r="T1884" s="217"/>
      <c r="U1884" s="288"/>
      <c r="V1884" s="288"/>
      <c r="W1884" s="203"/>
      <c r="X1884" s="203"/>
    </row>
    <row r="1885" spans="1:24" s="188" customFormat="1" ht="18" customHeight="1" x14ac:dyDescent="0.2">
      <c r="A1885" s="744" t="s">
        <v>164</v>
      </c>
      <c r="B1885" s="243" t="s">
        <v>204</v>
      </c>
      <c r="C1885" s="353" t="s">
        <v>608</v>
      </c>
      <c r="D1885" s="353" t="s">
        <v>611</v>
      </c>
      <c r="E1885" s="369">
        <v>8540482340</v>
      </c>
      <c r="F1885" s="369">
        <v>540</v>
      </c>
      <c r="G1885" s="288">
        <v>360</v>
      </c>
      <c r="H1885" s="288"/>
      <c r="I1885" s="288">
        <v>360</v>
      </c>
      <c r="J1885" s="288"/>
      <c r="K1885" s="43">
        <f t="shared" ref="K1885" si="607">I1885-G1885</f>
        <v>0</v>
      </c>
      <c r="L1885" s="43">
        <f t="shared" ref="L1885" si="608">J1885-H1885</f>
        <v>0</v>
      </c>
      <c r="M1885" s="217"/>
      <c r="N1885" s="171"/>
      <c r="R1885" s="288"/>
      <c r="S1885" s="288"/>
      <c r="T1885" s="217"/>
      <c r="U1885" s="288"/>
      <c r="V1885" s="288"/>
      <c r="W1885" s="203"/>
      <c r="X1885" s="203"/>
    </row>
    <row r="1886" spans="1:24" s="188" customFormat="1" ht="18" hidden="1" customHeight="1" x14ac:dyDescent="0.2">
      <c r="A1886" s="133" t="s">
        <v>65</v>
      </c>
      <c r="B1886" s="388" t="s">
        <v>204</v>
      </c>
      <c r="C1886" s="389" t="s">
        <v>608</v>
      </c>
      <c r="D1886" s="389" t="s">
        <v>611</v>
      </c>
      <c r="E1886" s="390">
        <v>9990000000</v>
      </c>
      <c r="F1886" s="390"/>
      <c r="G1886" s="391">
        <f t="shared" ref="G1886:J1887" si="609">G1887</f>
        <v>0</v>
      </c>
      <c r="H1886" s="391">
        <f t="shared" si="609"/>
        <v>0</v>
      </c>
      <c r="I1886" s="391">
        <f t="shared" si="609"/>
        <v>0</v>
      </c>
      <c r="J1886" s="391">
        <f t="shared" si="609"/>
        <v>0</v>
      </c>
      <c r="K1886" s="391">
        <f t="shared" si="598"/>
        <v>0</v>
      </c>
      <c r="L1886" s="391">
        <f t="shared" si="599"/>
        <v>0</v>
      </c>
      <c r="M1886" s="217"/>
      <c r="N1886" s="171"/>
      <c r="R1886" s="391">
        <f>R1887</f>
        <v>182</v>
      </c>
      <c r="S1886" s="391">
        <f>S1887</f>
        <v>0</v>
      </c>
      <c r="T1886" s="217"/>
      <c r="U1886" s="288"/>
      <c r="V1886" s="288"/>
      <c r="W1886" s="203"/>
      <c r="X1886" s="203"/>
    </row>
    <row r="1887" spans="1:24" s="188" customFormat="1" ht="27.75" hidden="1" customHeight="1" x14ac:dyDescent="0.2">
      <c r="A1887" s="121" t="s">
        <v>1883</v>
      </c>
      <c r="B1887" s="388" t="s">
        <v>204</v>
      </c>
      <c r="C1887" s="389" t="s">
        <v>608</v>
      </c>
      <c r="D1887" s="389" t="s">
        <v>611</v>
      </c>
      <c r="E1887" s="515">
        <v>9990082340</v>
      </c>
      <c r="F1887" s="390"/>
      <c r="G1887" s="391">
        <f t="shared" si="609"/>
        <v>0</v>
      </c>
      <c r="H1887" s="391">
        <f t="shared" si="609"/>
        <v>0</v>
      </c>
      <c r="I1887" s="391">
        <f t="shared" si="609"/>
        <v>0</v>
      </c>
      <c r="J1887" s="391">
        <f t="shared" si="609"/>
        <v>0</v>
      </c>
      <c r="K1887" s="391">
        <f t="shared" si="598"/>
        <v>0</v>
      </c>
      <c r="L1887" s="391">
        <f t="shared" si="599"/>
        <v>0</v>
      </c>
      <c r="M1887" s="217"/>
      <c r="N1887" s="171"/>
      <c r="R1887" s="391">
        <f>R1888</f>
        <v>182</v>
      </c>
      <c r="S1887" s="391">
        <f>S1888</f>
        <v>0</v>
      </c>
      <c r="T1887" s="217"/>
      <c r="U1887" s="288"/>
      <c r="V1887" s="288"/>
      <c r="W1887" s="203"/>
      <c r="X1887" s="203"/>
    </row>
    <row r="1888" spans="1:24" s="188" customFormat="1" ht="17.25" hidden="1" customHeight="1" x14ac:dyDescent="0.2">
      <c r="A1888" s="186" t="s">
        <v>836</v>
      </c>
      <c r="B1888" s="243" t="s">
        <v>204</v>
      </c>
      <c r="C1888" s="353" t="s">
        <v>608</v>
      </c>
      <c r="D1888" s="353" t="s">
        <v>611</v>
      </c>
      <c r="E1888" s="369">
        <v>9990082340</v>
      </c>
      <c r="F1888" s="369">
        <v>811</v>
      </c>
      <c r="G1888" s="288">
        <v>0</v>
      </c>
      <c r="H1888" s="288"/>
      <c r="I1888" s="288">
        <v>0</v>
      </c>
      <c r="J1888" s="288"/>
      <c r="K1888" s="43">
        <f t="shared" si="598"/>
        <v>0</v>
      </c>
      <c r="L1888" s="43">
        <f t="shared" si="599"/>
        <v>0</v>
      </c>
      <c r="M1888" s="217"/>
      <c r="N1888" s="171"/>
      <c r="R1888" s="288">
        <v>182</v>
      </c>
      <c r="S1888" s="288"/>
      <c r="T1888" s="217"/>
      <c r="U1888" s="288"/>
      <c r="V1888" s="288"/>
      <c r="W1888" s="203"/>
      <c r="X1888" s="203"/>
    </row>
    <row r="1889" spans="1:24" ht="15" x14ac:dyDescent="0.2">
      <c r="A1889" s="746" t="s">
        <v>1729</v>
      </c>
      <c r="B1889" s="306" t="s">
        <v>204</v>
      </c>
      <c r="C1889" s="354" t="s">
        <v>608</v>
      </c>
      <c r="D1889" s="354" t="s">
        <v>613</v>
      </c>
      <c r="E1889" s="450"/>
      <c r="F1889" s="450"/>
      <c r="G1889" s="591">
        <f>G1890+G1985+G1970+G1903+G1907</f>
        <v>325239.90999999997</v>
      </c>
      <c r="H1889" s="591">
        <f>H1890+H1985+H1970+H1903+H1907</f>
        <v>260968.79089999999</v>
      </c>
      <c r="I1889" s="591">
        <f>I1890+I1985+I1970+I1903+I1907</f>
        <v>346962.96947999997</v>
      </c>
      <c r="J1889" s="591">
        <f>J1890+J1985+J1970+J1903+J1907</f>
        <v>260968.79089999999</v>
      </c>
      <c r="K1889" s="591">
        <f t="shared" si="598"/>
        <v>21723.059479999996</v>
      </c>
      <c r="L1889" s="591">
        <f t="shared" si="599"/>
        <v>0</v>
      </c>
      <c r="M1889" s="217">
        <f>I1889-G1889-K1889</f>
        <v>0</v>
      </c>
      <c r="N1889" s="170">
        <f>N1890+N1985</f>
        <v>60082.258000000002</v>
      </c>
      <c r="R1889" s="526">
        <f>R1890+R1985+R1970+R1903+R1907</f>
        <v>89597.913570000004</v>
      </c>
      <c r="S1889" s="526">
        <f>S1890+S1985+S1970+S1903+S1907</f>
        <v>42600.5</v>
      </c>
      <c r="T1889" s="217">
        <f>I1889-G1889</f>
        <v>21723.059479999996</v>
      </c>
      <c r="U1889" s="498">
        <f>U1890+U1985+U1970</f>
        <v>101826.25304000001</v>
      </c>
      <c r="V1889" s="498">
        <f>V1890+V1985+V1970</f>
        <v>0</v>
      </c>
      <c r="W1889" s="203">
        <f>G1889-I1889</f>
        <v>-21723.059479999996</v>
      </c>
      <c r="X1889" s="203">
        <f>K1889+W1889</f>
        <v>0</v>
      </c>
    </row>
    <row r="1890" spans="1:24" ht="25.5" x14ac:dyDescent="0.2">
      <c r="A1890" s="746" t="s">
        <v>1728</v>
      </c>
      <c r="B1890" s="306" t="s">
        <v>204</v>
      </c>
      <c r="C1890" s="354" t="s">
        <v>608</v>
      </c>
      <c r="D1890" s="354" t="s">
        <v>613</v>
      </c>
      <c r="E1890" s="450" t="s">
        <v>586</v>
      </c>
      <c r="F1890" s="450"/>
      <c r="G1890" s="591">
        <f>G1891+G1897+G1900+G1894</f>
        <v>300</v>
      </c>
      <c r="H1890" s="591">
        <f>H1891+H1897+H1900+H1894</f>
        <v>0</v>
      </c>
      <c r="I1890" s="591">
        <f>I1891+I1897+I1900+I1894</f>
        <v>300</v>
      </c>
      <c r="J1890" s="591">
        <f>J1891+J1897+J1900+J1894</f>
        <v>0</v>
      </c>
      <c r="K1890" s="591">
        <f t="shared" si="598"/>
        <v>0</v>
      </c>
      <c r="L1890" s="591">
        <f t="shared" si="599"/>
        <v>0</v>
      </c>
      <c r="M1890" s="217"/>
      <c r="N1890" s="170">
        <f>N1891</f>
        <v>500</v>
      </c>
      <c r="R1890" s="591">
        <f>R1891+R1897+R1900</f>
        <v>200</v>
      </c>
      <c r="S1890" s="591">
        <f>S1891+S1897+S1900</f>
        <v>0</v>
      </c>
      <c r="T1890" s="217">
        <f>I1890-G1890</f>
        <v>0</v>
      </c>
      <c r="U1890" s="498">
        <f>U1891+U1897</f>
        <v>200</v>
      </c>
      <c r="V1890" s="498">
        <f>V1891+V1897</f>
        <v>0</v>
      </c>
      <c r="W1890" s="203">
        <f>G1890-I1890</f>
        <v>0</v>
      </c>
      <c r="X1890" s="203">
        <f>K1890+W1890</f>
        <v>0</v>
      </c>
    </row>
    <row r="1891" spans="1:24" ht="24" hidden="1" customHeight="1" x14ac:dyDescent="0.2">
      <c r="A1891" s="494" t="s">
        <v>1543</v>
      </c>
      <c r="B1891" s="306" t="s">
        <v>204</v>
      </c>
      <c r="C1891" s="354" t="s">
        <v>608</v>
      </c>
      <c r="D1891" s="354" t="s">
        <v>613</v>
      </c>
      <c r="E1891" s="450">
        <v>7600600000</v>
      </c>
      <c r="F1891" s="450"/>
      <c r="G1891" s="498">
        <f t="shared" ref="G1891:J1892" si="610">G1892</f>
        <v>0</v>
      </c>
      <c r="H1891" s="498">
        <f t="shared" si="610"/>
        <v>0</v>
      </c>
      <c r="I1891" s="591">
        <f t="shared" si="610"/>
        <v>0</v>
      </c>
      <c r="J1891" s="591">
        <f t="shared" si="610"/>
        <v>0</v>
      </c>
      <c r="K1891" s="591">
        <f t="shared" si="598"/>
        <v>0</v>
      </c>
      <c r="L1891" s="591">
        <f t="shared" si="599"/>
        <v>0</v>
      </c>
      <c r="M1891" s="217">
        <f>I1891-G1891-K1891</f>
        <v>0</v>
      </c>
      <c r="N1891" s="170">
        <f>N1893</f>
        <v>500</v>
      </c>
      <c r="R1891" s="591">
        <f>R1892</f>
        <v>0</v>
      </c>
      <c r="S1891" s="591">
        <f>S1892</f>
        <v>0</v>
      </c>
      <c r="T1891" s="217">
        <f>I1891-G1891</f>
        <v>0</v>
      </c>
      <c r="U1891" s="498">
        <f>U1892</f>
        <v>20</v>
      </c>
      <c r="V1891" s="498">
        <f>V1892</f>
        <v>0</v>
      </c>
      <c r="W1891" s="203">
        <f>G1891-I1891</f>
        <v>0</v>
      </c>
      <c r="X1891" s="203">
        <f>K1891+W1891</f>
        <v>0</v>
      </c>
    </row>
    <row r="1892" spans="1:24" ht="15.75" hidden="1" customHeight="1" x14ac:dyDescent="0.2">
      <c r="A1892" s="494" t="s">
        <v>1543</v>
      </c>
      <c r="B1892" s="306" t="s">
        <v>204</v>
      </c>
      <c r="C1892" s="354" t="s">
        <v>608</v>
      </c>
      <c r="D1892" s="354" t="s">
        <v>613</v>
      </c>
      <c r="E1892" s="495" t="s">
        <v>1400</v>
      </c>
      <c r="F1892" s="450"/>
      <c r="G1892" s="498">
        <f t="shared" si="610"/>
        <v>0</v>
      </c>
      <c r="H1892" s="498">
        <f t="shared" si="610"/>
        <v>0</v>
      </c>
      <c r="I1892" s="591">
        <f t="shared" si="610"/>
        <v>0</v>
      </c>
      <c r="J1892" s="591">
        <f t="shared" si="610"/>
        <v>0</v>
      </c>
      <c r="K1892" s="591">
        <f t="shared" si="598"/>
        <v>0</v>
      </c>
      <c r="L1892" s="591">
        <f t="shared" si="599"/>
        <v>0</v>
      </c>
      <c r="M1892" s="217">
        <f>I1892-G1892-K1892</f>
        <v>0</v>
      </c>
      <c r="N1892" s="170"/>
      <c r="R1892" s="591">
        <f>R1893</f>
        <v>0</v>
      </c>
      <c r="S1892" s="591">
        <f>S1893</f>
        <v>0</v>
      </c>
      <c r="T1892" s="217"/>
      <c r="U1892" s="498">
        <f>U1893</f>
        <v>20</v>
      </c>
      <c r="V1892" s="498">
        <f>V1893</f>
        <v>0</v>
      </c>
      <c r="W1892" s="203"/>
      <c r="X1892" s="203"/>
    </row>
    <row r="1893" spans="1:24" ht="15.75" hidden="1" customHeight="1" x14ac:dyDescent="0.2">
      <c r="A1893" s="124" t="s">
        <v>1543</v>
      </c>
      <c r="B1893" s="243" t="s">
        <v>204</v>
      </c>
      <c r="C1893" s="353" t="s">
        <v>608</v>
      </c>
      <c r="D1893" s="353" t="s">
        <v>613</v>
      </c>
      <c r="E1893" s="386" t="s">
        <v>1400</v>
      </c>
      <c r="F1893" s="369" t="s">
        <v>634</v>
      </c>
      <c r="G1893" s="288"/>
      <c r="H1893" s="288"/>
      <c r="I1893" s="288"/>
      <c r="J1893" s="288"/>
      <c r="K1893" s="43">
        <f t="shared" si="598"/>
        <v>0</v>
      </c>
      <c r="L1893" s="43">
        <f t="shared" si="599"/>
        <v>0</v>
      </c>
      <c r="M1893" s="217">
        <f>I1893-G1893-K1893</f>
        <v>0</v>
      </c>
      <c r="N1893" s="172">
        <v>500</v>
      </c>
      <c r="R1893" s="288"/>
      <c r="S1893" s="288"/>
      <c r="T1893" s="217">
        <f>I1893-G1893</f>
        <v>0</v>
      </c>
      <c r="U1893" s="288">
        <v>20</v>
      </c>
      <c r="V1893" s="288">
        <v>0</v>
      </c>
      <c r="W1893" s="203">
        <f>G1893-I1893</f>
        <v>0</v>
      </c>
      <c r="X1893" s="203">
        <f>K1893+W1893</f>
        <v>0</v>
      </c>
    </row>
    <row r="1894" spans="1:24" ht="15" x14ac:dyDescent="0.2">
      <c r="A1894" s="746" t="s">
        <v>1868</v>
      </c>
      <c r="B1894" s="306" t="s">
        <v>204</v>
      </c>
      <c r="C1894" s="354" t="s">
        <v>608</v>
      </c>
      <c r="D1894" s="354" t="s">
        <v>613</v>
      </c>
      <c r="E1894" s="620">
        <v>7601200000</v>
      </c>
      <c r="F1894" s="620"/>
      <c r="G1894" s="591">
        <f t="shared" ref="G1894:J1895" si="611">G1895</f>
        <v>100</v>
      </c>
      <c r="H1894" s="591">
        <f t="shared" si="611"/>
        <v>0</v>
      </c>
      <c r="I1894" s="591">
        <f t="shared" si="611"/>
        <v>100</v>
      </c>
      <c r="J1894" s="591">
        <f t="shared" si="611"/>
        <v>0</v>
      </c>
      <c r="K1894" s="43">
        <f t="shared" si="598"/>
        <v>0</v>
      </c>
      <c r="L1894" s="43">
        <f t="shared" si="599"/>
        <v>0</v>
      </c>
      <c r="M1894" s="217"/>
      <c r="N1894" s="172"/>
      <c r="R1894" s="288"/>
      <c r="S1894" s="288"/>
      <c r="T1894" s="217"/>
      <c r="U1894" s="288"/>
      <c r="V1894" s="288"/>
      <c r="W1894" s="203"/>
      <c r="X1894" s="203"/>
    </row>
    <row r="1895" spans="1:24" ht="15" x14ac:dyDescent="0.2">
      <c r="A1895" s="746" t="s">
        <v>43</v>
      </c>
      <c r="B1895" s="306" t="s">
        <v>204</v>
      </c>
      <c r="C1895" s="354" t="s">
        <v>608</v>
      </c>
      <c r="D1895" s="354" t="s">
        <v>613</v>
      </c>
      <c r="E1895" s="660" t="s">
        <v>1867</v>
      </c>
      <c r="F1895" s="620"/>
      <c r="G1895" s="591">
        <f t="shared" si="611"/>
        <v>100</v>
      </c>
      <c r="H1895" s="591">
        <f t="shared" si="611"/>
        <v>0</v>
      </c>
      <c r="I1895" s="591">
        <f t="shared" si="611"/>
        <v>100</v>
      </c>
      <c r="J1895" s="591">
        <f t="shared" si="611"/>
        <v>0</v>
      </c>
      <c r="K1895" s="43">
        <f t="shared" si="598"/>
        <v>0</v>
      </c>
      <c r="L1895" s="43">
        <f t="shared" si="599"/>
        <v>0</v>
      </c>
      <c r="M1895" s="217"/>
      <c r="N1895" s="172"/>
      <c r="R1895" s="288"/>
      <c r="S1895" s="288"/>
      <c r="T1895" s="217"/>
      <c r="U1895" s="288"/>
      <c r="V1895" s="288"/>
      <c r="W1895" s="203"/>
      <c r="X1895" s="203"/>
    </row>
    <row r="1896" spans="1:24" ht="15" x14ac:dyDescent="0.2">
      <c r="A1896" s="744" t="s">
        <v>834</v>
      </c>
      <c r="B1896" s="243" t="s">
        <v>204</v>
      </c>
      <c r="C1896" s="353" t="s">
        <v>608</v>
      </c>
      <c r="D1896" s="353" t="s">
        <v>613</v>
      </c>
      <c r="E1896" s="386" t="s">
        <v>1867</v>
      </c>
      <c r="F1896" s="369" t="s">
        <v>634</v>
      </c>
      <c r="G1896" s="288">
        <v>100</v>
      </c>
      <c r="H1896" s="288"/>
      <c r="I1896" s="288">
        <v>100</v>
      </c>
      <c r="J1896" s="288"/>
      <c r="K1896" s="43">
        <f t="shared" si="598"/>
        <v>0</v>
      </c>
      <c r="L1896" s="43">
        <f t="shared" si="599"/>
        <v>0</v>
      </c>
      <c r="M1896" s="217"/>
      <c r="N1896" s="172"/>
      <c r="R1896" s="288"/>
      <c r="S1896" s="288"/>
      <c r="T1896" s="217"/>
      <c r="U1896" s="288"/>
      <c r="V1896" s="288"/>
      <c r="W1896" s="203"/>
      <c r="X1896" s="203"/>
    </row>
    <row r="1897" spans="1:24" ht="15" x14ac:dyDescent="0.2">
      <c r="A1897" s="746" t="s">
        <v>1901</v>
      </c>
      <c r="B1897" s="306" t="s">
        <v>204</v>
      </c>
      <c r="C1897" s="354" t="s">
        <v>608</v>
      </c>
      <c r="D1897" s="354" t="s">
        <v>613</v>
      </c>
      <c r="E1897" s="450">
        <v>7601300000</v>
      </c>
      <c r="F1897" s="450"/>
      <c r="G1897" s="591">
        <f t="shared" ref="G1897:J1901" si="612">G1898</f>
        <v>100</v>
      </c>
      <c r="H1897" s="591">
        <f t="shared" si="612"/>
        <v>0</v>
      </c>
      <c r="I1897" s="591">
        <f t="shared" si="612"/>
        <v>100</v>
      </c>
      <c r="J1897" s="591">
        <f t="shared" si="612"/>
        <v>0</v>
      </c>
      <c r="K1897" s="591">
        <f t="shared" si="598"/>
        <v>0</v>
      </c>
      <c r="L1897" s="591">
        <f t="shared" si="599"/>
        <v>0</v>
      </c>
      <c r="M1897" s="217"/>
      <c r="N1897" s="170">
        <f>N1899</f>
        <v>500</v>
      </c>
      <c r="R1897" s="591">
        <f t="shared" ref="R1897:S1901" si="613">R1898</f>
        <v>100</v>
      </c>
      <c r="S1897" s="591">
        <f t="shared" si="613"/>
        <v>0</v>
      </c>
      <c r="T1897" s="217">
        <f>I1897-G1897</f>
        <v>0</v>
      </c>
      <c r="U1897" s="498">
        <f>U1898</f>
        <v>180</v>
      </c>
      <c r="V1897" s="498">
        <f>V1898</f>
        <v>0</v>
      </c>
      <c r="W1897" s="203">
        <f>G1897-I1897</f>
        <v>0</v>
      </c>
      <c r="X1897" s="203">
        <f>K1897+W1897</f>
        <v>0</v>
      </c>
    </row>
    <row r="1898" spans="1:24" ht="15" x14ac:dyDescent="0.2">
      <c r="A1898" s="746" t="s">
        <v>43</v>
      </c>
      <c r="B1898" s="306" t="s">
        <v>204</v>
      </c>
      <c r="C1898" s="354" t="s">
        <v>608</v>
      </c>
      <c r="D1898" s="354" t="s">
        <v>613</v>
      </c>
      <c r="E1898" s="495" t="s">
        <v>1401</v>
      </c>
      <c r="F1898" s="450"/>
      <c r="G1898" s="591">
        <f t="shared" si="612"/>
        <v>100</v>
      </c>
      <c r="H1898" s="591">
        <f t="shared" si="612"/>
        <v>0</v>
      </c>
      <c r="I1898" s="591">
        <f t="shared" si="612"/>
        <v>100</v>
      </c>
      <c r="J1898" s="591">
        <f t="shared" si="612"/>
        <v>0</v>
      </c>
      <c r="K1898" s="591">
        <f t="shared" si="598"/>
        <v>0</v>
      </c>
      <c r="L1898" s="591">
        <f t="shared" si="599"/>
        <v>0</v>
      </c>
      <c r="M1898" s="217"/>
      <c r="N1898" s="170"/>
      <c r="R1898" s="591">
        <f t="shared" si="613"/>
        <v>100</v>
      </c>
      <c r="S1898" s="591">
        <f t="shared" si="613"/>
        <v>0</v>
      </c>
      <c r="T1898" s="217"/>
      <c r="U1898" s="498">
        <f>U1899</f>
        <v>180</v>
      </c>
      <c r="V1898" s="498">
        <f>V1899</f>
        <v>0</v>
      </c>
      <c r="W1898" s="203"/>
      <c r="X1898" s="203"/>
    </row>
    <row r="1899" spans="1:24" ht="15" x14ac:dyDescent="0.2">
      <c r="A1899" s="744" t="s">
        <v>834</v>
      </c>
      <c r="B1899" s="243" t="s">
        <v>204</v>
      </c>
      <c r="C1899" s="353" t="s">
        <v>608</v>
      </c>
      <c r="D1899" s="353" t="s">
        <v>613</v>
      </c>
      <c r="E1899" s="386" t="s">
        <v>1401</v>
      </c>
      <c r="F1899" s="369" t="s">
        <v>634</v>
      </c>
      <c r="G1899" s="288">
        <v>100</v>
      </c>
      <c r="H1899" s="288"/>
      <c r="I1899" s="288">
        <v>100</v>
      </c>
      <c r="J1899" s="288"/>
      <c r="K1899" s="43">
        <f t="shared" si="598"/>
        <v>0</v>
      </c>
      <c r="L1899" s="43">
        <f t="shared" si="599"/>
        <v>0</v>
      </c>
      <c r="M1899" s="217"/>
      <c r="N1899" s="172">
        <v>500</v>
      </c>
      <c r="R1899" s="288">
        <v>100</v>
      </c>
      <c r="S1899" s="288"/>
      <c r="T1899" s="217">
        <f>I1899-G1899</f>
        <v>0</v>
      </c>
      <c r="U1899" s="288">
        <v>180</v>
      </c>
      <c r="V1899" s="288">
        <v>0</v>
      </c>
      <c r="W1899" s="203">
        <f>G1899-I1899</f>
        <v>0</v>
      </c>
      <c r="X1899" s="203">
        <f>K1899+W1899</f>
        <v>0</v>
      </c>
    </row>
    <row r="1900" spans="1:24" ht="25.5" x14ac:dyDescent="0.2">
      <c r="A1900" s="746" t="s">
        <v>1902</v>
      </c>
      <c r="B1900" s="306" t="s">
        <v>204</v>
      </c>
      <c r="C1900" s="354" t="s">
        <v>608</v>
      </c>
      <c r="D1900" s="354" t="s">
        <v>613</v>
      </c>
      <c r="E1900" s="570">
        <v>7601400000</v>
      </c>
      <c r="F1900" s="570"/>
      <c r="G1900" s="591">
        <f t="shared" si="612"/>
        <v>100</v>
      </c>
      <c r="H1900" s="591">
        <f t="shared" si="612"/>
        <v>0</v>
      </c>
      <c r="I1900" s="591">
        <f t="shared" si="612"/>
        <v>100</v>
      </c>
      <c r="J1900" s="591">
        <f t="shared" si="612"/>
        <v>0</v>
      </c>
      <c r="K1900" s="42">
        <f t="shared" si="598"/>
        <v>0</v>
      </c>
      <c r="L1900" s="42">
        <f t="shared" si="599"/>
        <v>0</v>
      </c>
      <c r="M1900" s="217"/>
      <c r="N1900" s="172"/>
      <c r="R1900" s="591">
        <f t="shared" si="613"/>
        <v>100</v>
      </c>
      <c r="S1900" s="591">
        <f t="shared" si="613"/>
        <v>0</v>
      </c>
      <c r="T1900" s="217"/>
      <c r="U1900" s="288"/>
      <c r="V1900" s="288"/>
      <c r="W1900" s="203"/>
      <c r="X1900" s="203"/>
    </row>
    <row r="1901" spans="1:24" ht="15" x14ac:dyDescent="0.2">
      <c r="A1901" s="746" t="s">
        <v>43</v>
      </c>
      <c r="B1901" s="306" t="s">
        <v>204</v>
      </c>
      <c r="C1901" s="354" t="s">
        <v>608</v>
      </c>
      <c r="D1901" s="354" t="s">
        <v>613</v>
      </c>
      <c r="E1901" s="572" t="s">
        <v>1489</v>
      </c>
      <c r="F1901" s="570"/>
      <c r="G1901" s="591">
        <f t="shared" si="612"/>
        <v>100</v>
      </c>
      <c r="H1901" s="591">
        <f t="shared" si="612"/>
        <v>0</v>
      </c>
      <c r="I1901" s="591">
        <f t="shared" si="612"/>
        <v>100</v>
      </c>
      <c r="J1901" s="591">
        <f t="shared" si="612"/>
        <v>0</v>
      </c>
      <c r="K1901" s="42">
        <f t="shared" si="598"/>
        <v>0</v>
      </c>
      <c r="L1901" s="42">
        <f t="shared" si="599"/>
        <v>0</v>
      </c>
      <c r="M1901" s="217"/>
      <c r="N1901" s="172"/>
      <c r="R1901" s="591">
        <f t="shared" si="613"/>
        <v>100</v>
      </c>
      <c r="S1901" s="591">
        <f t="shared" si="613"/>
        <v>0</v>
      </c>
      <c r="T1901" s="217"/>
      <c r="U1901" s="288"/>
      <c r="V1901" s="288"/>
      <c r="W1901" s="203"/>
      <c r="X1901" s="203"/>
    </row>
    <row r="1902" spans="1:24" ht="15" x14ac:dyDescent="0.2">
      <c r="A1902" s="744" t="s">
        <v>834</v>
      </c>
      <c r="B1902" s="243" t="s">
        <v>204</v>
      </c>
      <c r="C1902" s="353" t="s">
        <v>608</v>
      </c>
      <c r="D1902" s="353" t="s">
        <v>613</v>
      </c>
      <c r="E1902" s="386" t="s">
        <v>1489</v>
      </c>
      <c r="F1902" s="369" t="s">
        <v>634</v>
      </c>
      <c r="G1902" s="288">
        <v>100</v>
      </c>
      <c r="H1902" s="288"/>
      <c r="I1902" s="288">
        <v>100</v>
      </c>
      <c r="J1902" s="288"/>
      <c r="K1902" s="43">
        <f t="shared" si="598"/>
        <v>0</v>
      </c>
      <c r="L1902" s="43">
        <f t="shared" si="599"/>
        <v>0</v>
      </c>
      <c r="M1902" s="217"/>
      <c r="N1902" s="172"/>
      <c r="R1902" s="288">
        <v>100</v>
      </c>
      <c r="S1902" s="288"/>
      <c r="T1902" s="217"/>
      <c r="U1902" s="288"/>
      <c r="V1902" s="288"/>
      <c r="W1902" s="203"/>
      <c r="X1902" s="203"/>
    </row>
    <row r="1903" spans="1:24" ht="31.5" hidden="1" customHeight="1" x14ac:dyDescent="0.2">
      <c r="A1903" s="626" t="s">
        <v>1297</v>
      </c>
      <c r="B1903" s="306" t="s">
        <v>204</v>
      </c>
      <c r="C1903" s="354" t="s">
        <v>608</v>
      </c>
      <c r="D1903" s="354" t="s">
        <v>613</v>
      </c>
      <c r="E1903" s="570" t="s">
        <v>729</v>
      </c>
      <c r="F1903" s="570"/>
      <c r="G1903" s="498">
        <f t="shared" ref="G1903:J1905" si="614">G1904</f>
        <v>0</v>
      </c>
      <c r="H1903" s="498">
        <f t="shared" si="614"/>
        <v>0</v>
      </c>
      <c r="I1903" s="591">
        <f t="shared" si="614"/>
        <v>0</v>
      </c>
      <c r="J1903" s="591">
        <f t="shared" si="614"/>
        <v>0</v>
      </c>
      <c r="K1903" s="42">
        <f t="shared" si="598"/>
        <v>0</v>
      </c>
      <c r="L1903" s="42">
        <f t="shared" si="599"/>
        <v>0</v>
      </c>
      <c r="M1903" s="217"/>
      <c r="N1903" s="172"/>
      <c r="R1903" s="591">
        <f t="shared" ref="R1903:S1905" si="615">R1904</f>
        <v>30</v>
      </c>
      <c r="S1903" s="591">
        <f t="shared" si="615"/>
        <v>0</v>
      </c>
      <c r="T1903" s="217"/>
      <c r="U1903" s="288"/>
      <c r="V1903" s="288"/>
      <c r="W1903" s="203"/>
      <c r="X1903" s="203"/>
    </row>
    <row r="1904" spans="1:24" ht="25.5" hidden="1" x14ac:dyDescent="0.2">
      <c r="A1904" s="626" t="s">
        <v>743</v>
      </c>
      <c r="B1904" s="306" t="s">
        <v>204</v>
      </c>
      <c r="C1904" s="354" t="s">
        <v>608</v>
      </c>
      <c r="D1904" s="354" t="s">
        <v>613</v>
      </c>
      <c r="E1904" s="570">
        <v>8200100000</v>
      </c>
      <c r="F1904" s="570"/>
      <c r="G1904" s="498">
        <f t="shared" si="614"/>
        <v>0</v>
      </c>
      <c r="H1904" s="498">
        <f t="shared" si="614"/>
        <v>0</v>
      </c>
      <c r="I1904" s="591">
        <f t="shared" si="614"/>
        <v>0</v>
      </c>
      <c r="J1904" s="591">
        <f t="shared" si="614"/>
        <v>0</v>
      </c>
      <c r="K1904" s="42">
        <f t="shared" si="598"/>
        <v>0</v>
      </c>
      <c r="L1904" s="42">
        <f t="shared" si="599"/>
        <v>0</v>
      </c>
      <c r="M1904" s="217"/>
      <c r="N1904" s="172"/>
      <c r="R1904" s="591">
        <f t="shared" si="615"/>
        <v>30</v>
      </c>
      <c r="S1904" s="591">
        <f t="shared" si="615"/>
        <v>0</v>
      </c>
      <c r="T1904" s="217"/>
      <c r="U1904" s="288"/>
      <c r="V1904" s="288"/>
      <c r="W1904" s="203"/>
      <c r="X1904" s="203"/>
    </row>
    <row r="1905" spans="1:24" ht="15" hidden="1" x14ac:dyDescent="0.2">
      <c r="A1905" s="626" t="s">
        <v>734</v>
      </c>
      <c r="B1905" s="306" t="s">
        <v>204</v>
      </c>
      <c r="C1905" s="354" t="s">
        <v>608</v>
      </c>
      <c r="D1905" s="354" t="s">
        <v>613</v>
      </c>
      <c r="E1905" s="570">
        <v>8200182460</v>
      </c>
      <c r="F1905" s="570"/>
      <c r="G1905" s="498">
        <f t="shared" si="614"/>
        <v>0</v>
      </c>
      <c r="H1905" s="498">
        <f t="shared" si="614"/>
        <v>0</v>
      </c>
      <c r="I1905" s="591">
        <f t="shared" si="614"/>
        <v>0</v>
      </c>
      <c r="J1905" s="591">
        <f t="shared" si="614"/>
        <v>0</v>
      </c>
      <c r="K1905" s="42">
        <f t="shared" si="598"/>
        <v>0</v>
      </c>
      <c r="L1905" s="42">
        <f t="shared" si="599"/>
        <v>0</v>
      </c>
      <c r="M1905" s="217"/>
      <c r="N1905" s="172"/>
      <c r="R1905" s="591">
        <f t="shared" si="615"/>
        <v>30</v>
      </c>
      <c r="S1905" s="591">
        <f t="shared" si="615"/>
        <v>0</v>
      </c>
      <c r="T1905" s="217"/>
      <c r="U1905" s="288"/>
      <c r="V1905" s="288"/>
      <c r="W1905" s="203"/>
      <c r="X1905" s="203"/>
    </row>
    <row r="1906" spans="1:24" ht="15" hidden="1" x14ac:dyDescent="0.2">
      <c r="A1906" s="186" t="s">
        <v>834</v>
      </c>
      <c r="B1906" s="243" t="s">
        <v>204</v>
      </c>
      <c r="C1906" s="353" t="s">
        <v>608</v>
      </c>
      <c r="D1906" s="353" t="s">
        <v>613</v>
      </c>
      <c r="E1906" s="369">
        <v>8200182460</v>
      </c>
      <c r="F1906" s="369" t="s">
        <v>634</v>
      </c>
      <c r="G1906" s="288"/>
      <c r="H1906" s="288"/>
      <c r="I1906" s="288"/>
      <c r="J1906" s="288"/>
      <c r="K1906" s="43">
        <f t="shared" si="598"/>
        <v>0</v>
      </c>
      <c r="L1906" s="43">
        <f t="shared" si="599"/>
        <v>0</v>
      </c>
      <c r="M1906" s="217"/>
      <c r="N1906" s="172"/>
      <c r="R1906" s="288">
        <v>30</v>
      </c>
      <c r="S1906" s="288"/>
      <c r="T1906" s="217"/>
      <c r="U1906" s="288"/>
      <c r="V1906" s="288"/>
      <c r="W1906" s="203"/>
      <c r="X1906" s="203"/>
    </row>
    <row r="1907" spans="1:24" ht="15" x14ac:dyDescent="0.2">
      <c r="A1907" s="741" t="s">
        <v>1710</v>
      </c>
      <c r="B1907" s="388" t="s">
        <v>204</v>
      </c>
      <c r="C1907" s="389" t="s">
        <v>608</v>
      </c>
      <c r="D1907" s="389" t="s">
        <v>613</v>
      </c>
      <c r="E1907" s="390">
        <v>8500000000</v>
      </c>
      <c r="F1907" s="390"/>
      <c r="G1907" s="391">
        <f>G1912+G1908</f>
        <v>86383.647000000012</v>
      </c>
      <c r="H1907" s="391">
        <f>H1912+H1908</f>
        <v>50000</v>
      </c>
      <c r="I1907" s="391">
        <f>I1912+I1908</f>
        <v>105890.98248000001</v>
      </c>
      <c r="J1907" s="391">
        <f>J1912+J1908</f>
        <v>50000</v>
      </c>
      <c r="K1907" s="391">
        <f t="shared" si="598"/>
        <v>19507.335479999994</v>
      </c>
      <c r="L1907" s="391">
        <f t="shared" si="599"/>
        <v>0</v>
      </c>
      <c r="M1907" s="217"/>
      <c r="N1907" s="172"/>
      <c r="R1907" s="391">
        <f>R1912</f>
        <v>28492.5376</v>
      </c>
      <c r="S1907" s="391">
        <f>S1912</f>
        <v>0</v>
      </c>
      <c r="T1907" s="217"/>
      <c r="U1907" s="288"/>
      <c r="V1907" s="288"/>
      <c r="W1907" s="203"/>
      <c r="X1907" s="203"/>
    </row>
    <row r="1908" spans="1:24" ht="15" x14ac:dyDescent="0.2">
      <c r="A1908" s="741" t="s">
        <v>1711</v>
      </c>
      <c r="B1908" s="388" t="s">
        <v>204</v>
      </c>
      <c r="C1908" s="389" t="s">
        <v>608</v>
      </c>
      <c r="D1908" s="389" t="s">
        <v>613</v>
      </c>
      <c r="E1908" s="390">
        <v>8520000000</v>
      </c>
      <c r="F1908" s="390"/>
      <c r="G1908" s="391">
        <f>G1909</f>
        <v>150</v>
      </c>
      <c r="H1908" s="391"/>
      <c r="I1908" s="391">
        <f>I1909</f>
        <v>150</v>
      </c>
      <c r="J1908" s="391"/>
      <c r="K1908" s="391">
        <f t="shared" si="598"/>
        <v>0</v>
      </c>
      <c r="L1908" s="391">
        <f t="shared" si="599"/>
        <v>0</v>
      </c>
      <c r="M1908" s="217"/>
      <c r="N1908" s="172"/>
      <c r="R1908" s="391"/>
      <c r="S1908" s="391"/>
      <c r="T1908" s="217"/>
      <c r="U1908" s="288"/>
      <c r="V1908" s="288"/>
      <c r="W1908" s="203"/>
      <c r="X1908" s="203"/>
    </row>
    <row r="1909" spans="1:24" ht="25.5" x14ac:dyDescent="0.2">
      <c r="A1909" s="741" t="s">
        <v>1869</v>
      </c>
      <c r="B1909" s="388" t="s">
        <v>204</v>
      </c>
      <c r="C1909" s="389" t="s">
        <v>608</v>
      </c>
      <c r="D1909" s="389" t="s">
        <v>613</v>
      </c>
      <c r="E1909" s="390">
        <v>8520400000</v>
      </c>
      <c r="F1909" s="390"/>
      <c r="G1909" s="391">
        <f>G1910</f>
        <v>150</v>
      </c>
      <c r="H1909" s="391"/>
      <c r="I1909" s="391">
        <f>I1910</f>
        <v>150</v>
      </c>
      <c r="J1909" s="391"/>
      <c r="K1909" s="391">
        <f t="shared" si="598"/>
        <v>0</v>
      </c>
      <c r="L1909" s="391">
        <f t="shared" si="599"/>
        <v>0</v>
      </c>
      <c r="M1909" s="217"/>
      <c r="N1909" s="172"/>
      <c r="R1909" s="391"/>
      <c r="S1909" s="391"/>
      <c r="T1909" s="217"/>
      <c r="U1909" s="288"/>
      <c r="V1909" s="288"/>
      <c r="W1909" s="203"/>
      <c r="X1909" s="203"/>
    </row>
    <row r="1910" spans="1:24" ht="15" x14ac:dyDescent="0.2">
      <c r="A1910" s="741" t="s">
        <v>1709</v>
      </c>
      <c r="B1910" s="388" t="s">
        <v>204</v>
      </c>
      <c r="C1910" s="389" t="s">
        <v>608</v>
      </c>
      <c r="D1910" s="389" t="s">
        <v>613</v>
      </c>
      <c r="E1910" s="390">
        <v>8520482480</v>
      </c>
      <c r="F1910" s="390"/>
      <c r="G1910" s="391">
        <f>G1911</f>
        <v>150</v>
      </c>
      <c r="H1910" s="391"/>
      <c r="I1910" s="391">
        <f>I1911</f>
        <v>150</v>
      </c>
      <c r="J1910" s="391"/>
      <c r="K1910" s="391">
        <f t="shared" si="598"/>
        <v>0</v>
      </c>
      <c r="L1910" s="391">
        <f t="shared" si="599"/>
        <v>0</v>
      </c>
      <c r="M1910" s="217"/>
      <c r="N1910" s="172"/>
      <c r="R1910" s="391"/>
      <c r="S1910" s="391"/>
      <c r="T1910" s="217"/>
      <c r="U1910" s="288"/>
      <c r="V1910" s="288"/>
      <c r="W1910" s="203"/>
      <c r="X1910" s="203"/>
    </row>
    <row r="1911" spans="1:24" ht="15" x14ac:dyDescent="0.2">
      <c r="A1911" s="744" t="s">
        <v>834</v>
      </c>
      <c r="B1911" s="243" t="s">
        <v>204</v>
      </c>
      <c r="C1911" s="353" t="s">
        <v>608</v>
      </c>
      <c r="D1911" s="353" t="s">
        <v>613</v>
      </c>
      <c r="E1911" s="386">
        <v>8520482480</v>
      </c>
      <c r="F1911" s="369">
        <v>244</v>
      </c>
      <c r="G1911" s="288">
        <v>150</v>
      </c>
      <c r="H1911" s="288">
        <v>0</v>
      </c>
      <c r="I1911" s="288">
        <v>150</v>
      </c>
      <c r="J1911" s="288">
        <v>0</v>
      </c>
      <c r="K1911" s="391">
        <f t="shared" si="598"/>
        <v>0</v>
      </c>
      <c r="L1911" s="391">
        <f t="shared" si="599"/>
        <v>0</v>
      </c>
      <c r="M1911" s="217"/>
      <c r="N1911" s="172"/>
      <c r="R1911" s="391"/>
      <c r="S1911" s="391"/>
      <c r="T1911" s="217"/>
      <c r="U1911" s="288"/>
      <c r="V1911" s="288"/>
      <c r="W1911" s="203"/>
      <c r="X1911" s="203"/>
    </row>
    <row r="1912" spans="1:24" ht="15" x14ac:dyDescent="0.2">
      <c r="A1912" s="741" t="s">
        <v>1727</v>
      </c>
      <c r="B1912" s="388" t="s">
        <v>204</v>
      </c>
      <c r="C1912" s="389" t="s">
        <v>608</v>
      </c>
      <c r="D1912" s="389" t="s">
        <v>613</v>
      </c>
      <c r="E1912" s="390">
        <v>8530000000</v>
      </c>
      <c r="F1912" s="390"/>
      <c r="G1912" s="391">
        <f>G1916+G1919+G1925+G1931+G1928+G1934+G1937+G1966+G1940+G1948+G1955+G1945+G1960+G1963+G1913</f>
        <v>86233.647000000012</v>
      </c>
      <c r="H1912" s="391">
        <f t="shared" ref="H1912:L1912" si="616">H1916+H1919+H1925+H1931+H1928+H1934+H1937+H1966+H1940+H1948+H1955+H1945+H1960+H1963+H1913</f>
        <v>50000</v>
      </c>
      <c r="I1912" s="391">
        <f t="shared" si="616"/>
        <v>105740.98248000001</v>
      </c>
      <c r="J1912" s="391">
        <f t="shared" si="616"/>
        <v>50000</v>
      </c>
      <c r="K1912" s="391">
        <f t="shared" si="616"/>
        <v>19507.335480000002</v>
      </c>
      <c r="L1912" s="391">
        <f t="shared" si="616"/>
        <v>0</v>
      </c>
      <c r="M1912" s="217"/>
      <c r="N1912" s="172"/>
      <c r="R1912" s="391">
        <f>R1916+R1919+R1925+R1931+R1928+R1934+R1937</f>
        <v>28492.5376</v>
      </c>
      <c r="S1912" s="391">
        <f>S1916+S1919+S1925+S1931+S1928+S1934+S1937</f>
        <v>0</v>
      </c>
      <c r="T1912" s="217"/>
      <c r="U1912" s="288"/>
      <c r="V1912" s="288"/>
      <c r="W1912" s="203"/>
      <c r="X1912" s="203"/>
    </row>
    <row r="1913" spans="1:24" ht="25.5" x14ac:dyDescent="0.2">
      <c r="A1913" s="741" t="s">
        <v>1668</v>
      </c>
      <c r="B1913" s="388" t="s">
        <v>204</v>
      </c>
      <c r="C1913" s="389" t="s">
        <v>608</v>
      </c>
      <c r="D1913" s="389" t="s">
        <v>613</v>
      </c>
      <c r="E1913" s="515">
        <v>8530100000</v>
      </c>
      <c r="F1913" s="390"/>
      <c r="G1913" s="391">
        <f t="shared" ref="G1913:J1914" si="617">G1914</f>
        <v>0</v>
      </c>
      <c r="H1913" s="391">
        <f t="shared" si="617"/>
        <v>0</v>
      </c>
      <c r="I1913" s="391">
        <f t="shared" si="617"/>
        <v>22712.402480000001</v>
      </c>
      <c r="J1913" s="391">
        <f t="shared" si="617"/>
        <v>0</v>
      </c>
      <c r="K1913" s="391">
        <f t="shared" ref="K1913:K1915" si="618">I1913-G1913</f>
        <v>22712.402480000001</v>
      </c>
      <c r="L1913" s="391">
        <f t="shared" ref="L1913:L1915" si="619">J1913-H1913</f>
        <v>0</v>
      </c>
      <c r="M1913" s="217"/>
      <c r="N1913" s="172"/>
      <c r="R1913" s="391"/>
      <c r="S1913" s="391"/>
      <c r="T1913" s="217"/>
      <c r="U1913" s="288"/>
      <c r="V1913" s="288"/>
      <c r="W1913" s="203"/>
      <c r="X1913" s="203"/>
    </row>
    <row r="1914" spans="1:24" ht="15" x14ac:dyDescent="0.2">
      <c r="A1914" s="741" t="s">
        <v>1611</v>
      </c>
      <c r="B1914" s="388" t="s">
        <v>204</v>
      </c>
      <c r="C1914" s="389" t="s">
        <v>608</v>
      </c>
      <c r="D1914" s="389" t="s">
        <v>613</v>
      </c>
      <c r="E1914" s="515" t="s">
        <v>1669</v>
      </c>
      <c r="F1914" s="390"/>
      <c r="G1914" s="391">
        <f t="shared" si="617"/>
        <v>0</v>
      </c>
      <c r="H1914" s="391">
        <f t="shared" si="617"/>
        <v>0</v>
      </c>
      <c r="I1914" s="391">
        <f t="shared" si="617"/>
        <v>22712.402480000001</v>
      </c>
      <c r="J1914" s="391">
        <f t="shared" si="617"/>
        <v>0</v>
      </c>
      <c r="K1914" s="391">
        <f t="shared" si="618"/>
        <v>22712.402480000001</v>
      </c>
      <c r="L1914" s="391">
        <f t="shared" si="619"/>
        <v>0</v>
      </c>
      <c r="M1914" s="217"/>
      <c r="N1914" s="172"/>
      <c r="R1914" s="391"/>
      <c r="S1914" s="391"/>
      <c r="T1914" s="217"/>
      <c r="U1914" s="288"/>
      <c r="V1914" s="288"/>
      <c r="W1914" s="203"/>
      <c r="X1914" s="203"/>
    </row>
    <row r="1915" spans="1:24" ht="15" x14ac:dyDescent="0.2">
      <c r="A1915" s="744" t="s">
        <v>2028</v>
      </c>
      <c r="B1915" s="243" t="s">
        <v>204</v>
      </c>
      <c r="C1915" s="353" t="s">
        <v>608</v>
      </c>
      <c r="D1915" s="353" t="s">
        <v>613</v>
      </c>
      <c r="E1915" s="386" t="s">
        <v>1669</v>
      </c>
      <c r="F1915" s="369">
        <v>243</v>
      </c>
      <c r="G1915" s="288"/>
      <c r="H1915" s="288"/>
      <c r="I1915" s="288">
        <v>22712.402480000001</v>
      </c>
      <c r="J1915" s="288"/>
      <c r="K1915" s="43">
        <f t="shared" si="618"/>
        <v>22712.402480000001</v>
      </c>
      <c r="L1915" s="43">
        <f t="shared" si="619"/>
        <v>0</v>
      </c>
      <c r="M1915" s="217"/>
      <c r="N1915" s="172"/>
      <c r="R1915" s="391"/>
      <c r="S1915" s="391"/>
      <c r="T1915" s="217"/>
      <c r="U1915" s="288"/>
      <c r="V1915" s="288"/>
      <c r="W1915" s="203"/>
      <c r="X1915" s="203"/>
    </row>
    <row r="1916" spans="1:24" ht="15" hidden="1" x14ac:dyDescent="0.2">
      <c r="A1916" s="133" t="s">
        <v>1852</v>
      </c>
      <c r="B1916" s="388" t="s">
        <v>204</v>
      </c>
      <c r="C1916" s="389" t="s">
        <v>608</v>
      </c>
      <c r="D1916" s="389" t="s">
        <v>613</v>
      </c>
      <c r="E1916" s="515" t="s">
        <v>1685</v>
      </c>
      <c r="F1916" s="390"/>
      <c r="G1916" s="391">
        <f t="shared" ref="G1916:J1917" si="620">G1917</f>
        <v>0</v>
      </c>
      <c r="H1916" s="391">
        <f t="shared" si="620"/>
        <v>0</v>
      </c>
      <c r="I1916" s="391">
        <f t="shared" si="620"/>
        <v>0</v>
      </c>
      <c r="J1916" s="391">
        <f t="shared" si="620"/>
        <v>0</v>
      </c>
      <c r="K1916" s="391">
        <f t="shared" si="598"/>
        <v>0</v>
      </c>
      <c r="L1916" s="391">
        <f t="shared" si="599"/>
        <v>0</v>
      </c>
      <c r="M1916" s="217"/>
      <c r="N1916" s="172"/>
      <c r="R1916" s="391">
        <f>R1917</f>
        <v>6857.1</v>
      </c>
      <c r="S1916" s="391">
        <f>S1917</f>
        <v>0</v>
      </c>
      <c r="T1916" s="217"/>
      <c r="U1916" s="288"/>
      <c r="V1916" s="288"/>
      <c r="W1916" s="203"/>
      <c r="X1916" s="203"/>
    </row>
    <row r="1917" spans="1:24" ht="15" hidden="1" x14ac:dyDescent="0.2">
      <c r="A1917" s="133" t="s">
        <v>1853</v>
      </c>
      <c r="B1917" s="388" t="s">
        <v>204</v>
      </c>
      <c r="C1917" s="389" t="s">
        <v>608</v>
      </c>
      <c r="D1917" s="389" t="s">
        <v>613</v>
      </c>
      <c r="E1917" s="515" t="s">
        <v>1686</v>
      </c>
      <c r="F1917" s="390"/>
      <c r="G1917" s="391">
        <f t="shared" si="620"/>
        <v>0</v>
      </c>
      <c r="H1917" s="391">
        <f t="shared" si="620"/>
        <v>0</v>
      </c>
      <c r="I1917" s="391">
        <f t="shared" si="620"/>
        <v>0</v>
      </c>
      <c r="J1917" s="391">
        <f t="shared" si="620"/>
        <v>0</v>
      </c>
      <c r="K1917" s="391">
        <f t="shared" si="598"/>
        <v>0</v>
      </c>
      <c r="L1917" s="391">
        <f t="shared" si="599"/>
        <v>0</v>
      </c>
      <c r="M1917" s="217"/>
      <c r="N1917" s="172"/>
      <c r="R1917" s="391">
        <f>R1918</f>
        <v>6857.1</v>
      </c>
      <c r="S1917" s="391">
        <f>S1918</f>
        <v>0</v>
      </c>
      <c r="T1917" s="217"/>
      <c r="U1917" s="288"/>
      <c r="V1917" s="288"/>
      <c r="W1917" s="203"/>
      <c r="X1917" s="203"/>
    </row>
    <row r="1918" spans="1:24" ht="15" hidden="1" x14ac:dyDescent="0.2">
      <c r="A1918" s="186" t="s">
        <v>1697</v>
      </c>
      <c r="B1918" s="243" t="s">
        <v>204</v>
      </c>
      <c r="C1918" s="353" t="s">
        <v>608</v>
      </c>
      <c r="D1918" s="353" t="s">
        <v>613</v>
      </c>
      <c r="E1918" s="386" t="s">
        <v>1686</v>
      </c>
      <c r="F1918" s="369">
        <v>243</v>
      </c>
      <c r="G1918" s="288"/>
      <c r="H1918" s="288"/>
      <c r="I1918" s="288"/>
      <c r="J1918" s="288"/>
      <c r="K1918" s="43">
        <f t="shared" si="598"/>
        <v>0</v>
      </c>
      <c r="L1918" s="43">
        <f t="shared" si="599"/>
        <v>0</v>
      </c>
      <c r="M1918" s="217">
        <v>1041.2329999999999</v>
      </c>
      <c r="N1918" s="172"/>
      <c r="R1918" s="288">
        <v>6857.1</v>
      </c>
      <c r="S1918" s="288"/>
      <c r="T1918" s="217"/>
      <c r="U1918" s="288"/>
      <c r="V1918" s="288"/>
      <c r="W1918" s="203"/>
      <c r="X1918" s="203"/>
    </row>
    <row r="1919" spans="1:24" ht="38.25" x14ac:dyDescent="0.2">
      <c r="A1919" s="741" t="s">
        <v>1726</v>
      </c>
      <c r="B1919" s="388" t="s">
        <v>204</v>
      </c>
      <c r="C1919" s="389" t="s">
        <v>608</v>
      </c>
      <c r="D1919" s="389" t="s">
        <v>613</v>
      </c>
      <c r="E1919" s="390">
        <v>8530200000</v>
      </c>
      <c r="F1919" s="390"/>
      <c r="G1919" s="391">
        <f>G1920+G1923</f>
        <v>11655.678</v>
      </c>
      <c r="H1919" s="391">
        <f>H1920+H1923</f>
        <v>0</v>
      </c>
      <c r="I1919" s="391">
        <f>I1920+I1923</f>
        <v>12655.678</v>
      </c>
      <c r="J1919" s="391">
        <f>J1920+J1923</f>
        <v>0</v>
      </c>
      <c r="K1919" s="391">
        <f t="shared" si="598"/>
        <v>1000</v>
      </c>
      <c r="L1919" s="391">
        <f t="shared" si="599"/>
        <v>0</v>
      </c>
      <c r="M1919" s="217"/>
      <c r="N1919" s="172"/>
      <c r="R1919" s="391">
        <f>R1920+R1923</f>
        <v>16485.678</v>
      </c>
      <c r="S1919" s="391">
        <f>S1920+S1923</f>
        <v>0</v>
      </c>
      <c r="T1919" s="217"/>
      <c r="U1919" s="288"/>
      <c r="V1919" s="288"/>
      <c r="W1919" s="203"/>
      <c r="X1919" s="203"/>
    </row>
    <row r="1920" spans="1:24" ht="25.5" x14ac:dyDescent="0.2">
      <c r="A1920" s="741" t="s">
        <v>1610</v>
      </c>
      <c r="B1920" s="388" t="s">
        <v>204</v>
      </c>
      <c r="C1920" s="389" t="s">
        <v>608</v>
      </c>
      <c r="D1920" s="389" t="s">
        <v>613</v>
      </c>
      <c r="E1920" s="515" t="s">
        <v>1670</v>
      </c>
      <c r="F1920" s="390"/>
      <c r="G1920" s="391">
        <f>G1921+G1922</f>
        <v>2800</v>
      </c>
      <c r="H1920" s="391">
        <f>H1921+H1922</f>
        <v>0</v>
      </c>
      <c r="I1920" s="391">
        <f>I1921+I1922</f>
        <v>2800</v>
      </c>
      <c r="J1920" s="391">
        <f>J1921+J1922</f>
        <v>0</v>
      </c>
      <c r="K1920" s="391">
        <f t="shared" si="598"/>
        <v>0</v>
      </c>
      <c r="L1920" s="391">
        <f t="shared" si="599"/>
        <v>0</v>
      </c>
      <c r="M1920" s="217"/>
      <c r="N1920" s="172"/>
      <c r="R1920" s="391">
        <f>R1921+R1922</f>
        <v>8200</v>
      </c>
      <c r="S1920" s="391">
        <f>S1921+S1922</f>
        <v>0</v>
      </c>
      <c r="T1920" s="217"/>
      <c r="U1920" s="288"/>
      <c r="V1920" s="288"/>
      <c r="W1920" s="203"/>
      <c r="X1920" s="203"/>
    </row>
    <row r="1921" spans="1:24" ht="15" x14ac:dyDescent="0.2">
      <c r="A1921" s="739" t="s">
        <v>1584</v>
      </c>
      <c r="B1921" s="243" t="s">
        <v>204</v>
      </c>
      <c r="C1921" s="353" t="s">
        <v>608</v>
      </c>
      <c r="D1921" s="353" t="s">
        <v>613</v>
      </c>
      <c r="E1921" s="369" t="s">
        <v>1670</v>
      </c>
      <c r="F1921" s="369">
        <v>540</v>
      </c>
      <c r="G1921" s="288">
        <v>800</v>
      </c>
      <c r="H1921" s="288"/>
      <c r="I1921" s="288">
        <v>800</v>
      </c>
      <c r="J1921" s="288"/>
      <c r="K1921" s="43">
        <f t="shared" si="598"/>
        <v>0</v>
      </c>
      <c r="L1921" s="43">
        <f t="shared" si="599"/>
        <v>0</v>
      </c>
      <c r="M1921" s="217"/>
      <c r="N1921" s="172"/>
      <c r="R1921" s="288">
        <v>700</v>
      </c>
      <c r="S1921" s="288"/>
      <c r="T1921" s="217"/>
      <c r="U1921" s="288"/>
      <c r="V1921" s="288"/>
      <c r="W1921" s="203"/>
      <c r="X1921" s="203"/>
    </row>
    <row r="1922" spans="1:24" ht="25.5" x14ac:dyDescent="0.2">
      <c r="A1922" s="739" t="s">
        <v>1583</v>
      </c>
      <c r="B1922" s="243" t="s">
        <v>204</v>
      </c>
      <c r="C1922" s="353" t="s">
        <v>608</v>
      </c>
      <c r="D1922" s="353" t="s">
        <v>613</v>
      </c>
      <c r="E1922" s="369" t="s">
        <v>1670</v>
      </c>
      <c r="F1922" s="369">
        <v>621</v>
      </c>
      <c r="G1922" s="288">
        <v>2000</v>
      </c>
      <c r="H1922" s="288"/>
      <c r="I1922" s="288">
        <v>2000</v>
      </c>
      <c r="J1922" s="288"/>
      <c r="K1922" s="43">
        <f t="shared" si="598"/>
        <v>0</v>
      </c>
      <c r="L1922" s="43">
        <f t="shared" si="599"/>
        <v>0</v>
      </c>
      <c r="M1922" s="217"/>
      <c r="N1922" s="172"/>
      <c r="R1922" s="288">
        <v>7500</v>
      </c>
      <c r="S1922" s="288"/>
      <c r="T1922" s="217"/>
      <c r="U1922" s="288"/>
      <c r="V1922" s="288"/>
      <c r="W1922" s="203"/>
      <c r="X1922" s="203"/>
    </row>
    <row r="1923" spans="1:24" ht="15" x14ac:dyDescent="0.2">
      <c r="A1923" s="741" t="s">
        <v>43</v>
      </c>
      <c r="B1923" s="388" t="s">
        <v>204</v>
      </c>
      <c r="C1923" s="389" t="s">
        <v>608</v>
      </c>
      <c r="D1923" s="389" t="s">
        <v>613</v>
      </c>
      <c r="E1923" s="515" t="s">
        <v>1671</v>
      </c>
      <c r="F1923" s="390"/>
      <c r="G1923" s="391">
        <f>G1924</f>
        <v>8855.6779999999999</v>
      </c>
      <c r="H1923" s="391">
        <f>H1924</f>
        <v>0</v>
      </c>
      <c r="I1923" s="391">
        <f>I1924</f>
        <v>9855.6779999999999</v>
      </c>
      <c r="J1923" s="391">
        <f>J1924</f>
        <v>0</v>
      </c>
      <c r="K1923" s="391">
        <f t="shared" si="598"/>
        <v>1000</v>
      </c>
      <c r="L1923" s="391">
        <f t="shared" si="599"/>
        <v>0</v>
      </c>
      <c r="M1923" s="217"/>
      <c r="N1923" s="172"/>
      <c r="R1923" s="391">
        <f>R1924</f>
        <v>8285.6779999999999</v>
      </c>
      <c r="S1923" s="391">
        <f>S1924</f>
        <v>0</v>
      </c>
      <c r="T1923" s="217"/>
      <c r="U1923" s="288"/>
      <c r="V1923" s="288"/>
      <c r="W1923" s="203"/>
      <c r="X1923" s="203"/>
    </row>
    <row r="1924" spans="1:24" ht="25.5" x14ac:dyDescent="0.2">
      <c r="A1924" s="744" t="s">
        <v>646</v>
      </c>
      <c r="B1924" s="243" t="s">
        <v>204</v>
      </c>
      <c r="C1924" s="353" t="s">
        <v>608</v>
      </c>
      <c r="D1924" s="353" t="s">
        <v>613</v>
      </c>
      <c r="E1924" s="369" t="s">
        <v>1671</v>
      </c>
      <c r="F1924" s="369">
        <v>621</v>
      </c>
      <c r="G1924" s="288">
        <v>8855.6779999999999</v>
      </c>
      <c r="H1924" s="288"/>
      <c r="I1924" s="288">
        <v>9855.6779999999999</v>
      </c>
      <c r="J1924" s="288"/>
      <c r="K1924" s="43">
        <f t="shared" si="598"/>
        <v>1000</v>
      </c>
      <c r="L1924" s="43">
        <f t="shared" si="599"/>
        <v>0</v>
      </c>
      <c r="M1924" s="217"/>
      <c r="N1924" s="172"/>
      <c r="R1924" s="288">
        <v>8285.6779999999999</v>
      </c>
      <c r="S1924" s="288"/>
      <c r="T1924" s="217"/>
      <c r="U1924" s="288"/>
      <c r="V1924" s="288"/>
      <c r="W1924" s="203"/>
      <c r="X1924" s="203"/>
    </row>
    <row r="1925" spans="1:24" ht="15" hidden="1" x14ac:dyDescent="0.2">
      <c r="A1925" s="133" t="s">
        <v>1725</v>
      </c>
      <c r="B1925" s="388" t="s">
        <v>204</v>
      </c>
      <c r="C1925" s="389" t="s">
        <v>608</v>
      </c>
      <c r="D1925" s="389" t="s">
        <v>613</v>
      </c>
      <c r="E1925" s="390">
        <v>8530300000</v>
      </c>
      <c r="F1925" s="390"/>
      <c r="G1925" s="391">
        <f t="shared" ref="G1925:J1926" si="621">G1926</f>
        <v>0</v>
      </c>
      <c r="H1925" s="391">
        <f t="shared" si="621"/>
        <v>0</v>
      </c>
      <c r="I1925" s="391">
        <f t="shared" si="621"/>
        <v>0</v>
      </c>
      <c r="J1925" s="391">
        <f t="shared" si="621"/>
        <v>0</v>
      </c>
      <c r="K1925" s="391">
        <f t="shared" si="598"/>
        <v>0</v>
      </c>
      <c r="L1925" s="391">
        <f t="shared" si="599"/>
        <v>0</v>
      </c>
      <c r="M1925" s="217"/>
      <c r="N1925" s="172"/>
      <c r="R1925" s="391">
        <f>R1926</f>
        <v>700</v>
      </c>
      <c r="S1925" s="391">
        <f>S1926</f>
        <v>0</v>
      </c>
      <c r="T1925" s="217"/>
      <c r="U1925" s="288"/>
      <c r="V1925" s="288"/>
      <c r="W1925" s="203"/>
      <c r="X1925" s="203"/>
    </row>
    <row r="1926" spans="1:24" ht="15" hidden="1" x14ac:dyDescent="0.2">
      <c r="A1926" s="133" t="s">
        <v>43</v>
      </c>
      <c r="B1926" s="388" t="s">
        <v>204</v>
      </c>
      <c r="C1926" s="389" t="s">
        <v>608</v>
      </c>
      <c r="D1926" s="389" t="s">
        <v>613</v>
      </c>
      <c r="E1926" s="515" t="s">
        <v>1700</v>
      </c>
      <c r="F1926" s="390"/>
      <c r="G1926" s="391">
        <f t="shared" si="621"/>
        <v>0</v>
      </c>
      <c r="H1926" s="391">
        <f t="shared" si="621"/>
        <v>0</v>
      </c>
      <c r="I1926" s="391">
        <f t="shared" si="621"/>
        <v>0</v>
      </c>
      <c r="J1926" s="391">
        <f t="shared" si="621"/>
        <v>0</v>
      </c>
      <c r="K1926" s="391">
        <f t="shared" si="598"/>
        <v>0</v>
      </c>
      <c r="L1926" s="391">
        <f t="shared" si="599"/>
        <v>0</v>
      </c>
      <c r="M1926" s="217"/>
      <c r="N1926" s="172"/>
      <c r="R1926" s="391">
        <f>R1927</f>
        <v>700</v>
      </c>
      <c r="S1926" s="391">
        <f>S1927</f>
        <v>0</v>
      </c>
      <c r="T1926" s="217"/>
      <c r="U1926" s="288"/>
      <c r="V1926" s="288"/>
      <c r="W1926" s="203"/>
      <c r="X1926" s="203"/>
    </row>
    <row r="1927" spans="1:24" ht="15" hidden="1" x14ac:dyDescent="0.2">
      <c r="A1927" s="186" t="s">
        <v>126</v>
      </c>
      <c r="B1927" s="243" t="s">
        <v>204</v>
      </c>
      <c r="C1927" s="353" t="s">
        <v>608</v>
      </c>
      <c r="D1927" s="353" t="s">
        <v>613</v>
      </c>
      <c r="E1927" s="386" t="s">
        <v>1700</v>
      </c>
      <c r="F1927" s="369">
        <v>622</v>
      </c>
      <c r="G1927" s="288"/>
      <c r="H1927" s="288"/>
      <c r="I1927" s="288"/>
      <c r="J1927" s="288"/>
      <c r="K1927" s="43">
        <f t="shared" si="598"/>
        <v>0</v>
      </c>
      <c r="L1927" s="43">
        <f t="shared" si="599"/>
        <v>0</v>
      </c>
      <c r="M1927" s="217"/>
      <c r="N1927" s="172"/>
      <c r="R1927" s="288">
        <v>700</v>
      </c>
      <c r="S1927" s="288"/>
      <c r="T1927" s="217"/>
      <c r="U1927" s="288"/>
      <c r="V1927" s="288"/>
      <c r="W1927" s="203"/>
      <c r="X1927" s="203"/>
    </row>
    <row r="1928" spans="1:24" ht="25.5" hidden="1" x14ac:dyDescent="0.2">
      <c r="A1928" s="133" t="s">
        <v>1723</v>
      </c>
      <c r="B1928" s="388" t="s">
        <v>204</v>
      </c>
      <c r="C1928" s="389" t="s">
        <v>608</v>
      </c>
      <c r="D1928" s="389" t="s">
        <v>613</v>
      </c>
      <c r="E1928" s="390">
        <v>8530400000</v>
      </c>
      <c r="F1928" s="390"/>
      <c r="G1928" s="391">
        <f t="shared" ref="G1928:J1929" si="622">G1929</f>
        <v>0</v>
      </c>
      <c r="H1928" s="391">
        <f t="shared" si="622"/>
        <v>0</v>
      </c>
      <c r="I1928" s="391">
        <f t="shared" si="622"/>
        <v>0</v>
      </c>
      <c r="J1928" s="391">
        <f t="shared" si="622"/>
        <v>0</v>
      </c>
      <c r="K1928" s="391">
        <f t="shared" si="598"/>
        <v>0</v>
      </c>
      <c r="L1928" s="391">
        <f t="shared" si="599"/>
        <v>0</v>
      </c>
      <c r="M1928" s="217"/>
      <c r="N1928" s="172"/>
      <c r="R1928" s="391">
        <f>R1929</f>
        <v>900</v>
      </c>
      <c r="S1928" s="391">
        <f>S1929</f>
        <v>0</v>
      </c>
      <c r="T1928" s="217"/>
      <c r="U1928" s="288"/>
      <c r="V1928" s="288"/>
      <c r="W1928" s="203"/>
      <c r="X1928" s="203"/>
    </row>
    <row r="1929" spans="1:24" ht="15" hidden="1" x14ac:dyDescent="0.2">
      <c r="A1929" s="133" t="s">
        <v>1609</v>
      </c>
      <c r="B1929" s="388" t="s">
        <v>204</v>
      </c>
      <c r="C1929" s="389" t="s">
        <v>608</v>
      </c>
      <c r="D1929" s="389" t="s">
        <v>613</v>
      </c>
      <c r="E1929" s="515" t="s">
        <v>1804</v>
      </c>
      <c r="F1929" s="390"/>
      <c r="G1929" s="391">
        <f t="shared" si="622"/>
        <v>0</v>
      </c>
      <c r="H1929" s="391">
        <f t="shared" si="622"/>
        <v>0</v>
      </c>
      <c r="I1929" s="391">
        <f t="shared" si="622"/>
        <v>0</v>
      </c>
      <c r="J1929" s="391">
        <f t="shared" si="622"/>
        <v>0</v>
      </c>
      <c r="K1929" s="391">
        <f t="shared" ref="K1929:K2016" si="623">I1929-G1929</f>
        <v>0</v>
      </c>
      <c r="L1929" s="391">
        <f t="shared" ref="L1929:L2016" si="624">J1929-H1929</f>
        <v>0</v>
      </c>
      <c r="M1929" s="217"/>
      <c r="N1929" s="172"/>
      <c r="R1929" s="391">
        <f>R1930</f>
        <v>900</v>
      </c>
      <c r="S1929" s="391">
        <f>S1930</f>
        <v>0</v>
      </c>
      <c r="T1929" s="217"/>
      <c r="U1929" s="288"/>
      <c r="V1929" s="288"/>
      <c r="W1929" s="203"/>
      <c r="X1929" s="203"/>
    </row>
    <row r="1930" spans="1:24" ht="15" hidden="1" x14ac:dyDescent="0.2">
      <c r="A1930" s="186" t="s">
        <v>164</v>
      </c>
      <c r="B1930" s="243" t="s">
        <v>204</v>
      </c>
      <c r="C1930" s="353" t="s">
        <v>608</v>
      </c>
      <c r="D1930" s="353" t="s">
        <v>613</v>
      </c>
      <c r="E1930" s="386" t="s">
        <v>1804</v>
      </c>
      <c r="F1930" s="369">
        <v>540</v>
      </c>
      <c r="G1930" s="288">
        <v>0</v>
      </c>
      <c r="H1930" s="288">
        <v>0</v>
      </c>
      <c r="I1930" s="288">
        <v>0</v>
      </c>
      <c r="J1930" s="288">
        <v>0</v>
      </c>
      <c r="K1930" s="43">
        <f t="shared" si="623"/>
        <v>0</v>
      </c>
      <c r="L1930" s="43">
        <f t="shared" si="624"/>
        <v>0</v>
      </c>
      <c r="M1930" s="217"/>
      <c r="N1930" s="172"/>
      <c r="R1930" s="288">
        <v>900</v>
      </c>
      <c r="S1930" s="288"/>
      <c r="T1930" s="217"/>
      <c r="U1930" s="288"/>
      <c r="V1930" s="288"/>
      <c r="W1930" s="203"/>
      <c r="X1930" s="203"/>
    </row>
    <row r="1931" spans="1:24" ht="25.5" hidden="1" x14ac:dyDescent="0.2">
      <c r="A1931" s="133" t="s">
        <v>1724</v>
      </c>
      <c r="B1931" s="388" t="s">
        <v>204</v>
      </c>
      <c r="C1931" s="389" t="s">
        <v>608</v>
      </c>
      <c r="D1931" s="389" t="s">
        <v>613</v>
      </c>
      <c r="E1931" s="390">
        <v>8530500000</v>
      </c>
      <c r="F1931" s="390"/>
      <c r="G1931" s="391">
        <f t="shared" ref="G1931:J1932" si="625">G1932</f>
        <v>0</v>
      </c>
      <c r="H1931" s="391">
        <f t="shared" si="625"/>
        <v>0</v>
      </c>
      <c r="I1931" s="391">
        <f t="shared" si="625"/>
        <v>0</v>
      </c>
      <c r="J1931" s="391">
        <f t="shared" si="625"/>
        <v>0</v>
      </c>
      <c r="K1931" s="391">
        <f t="shared" si="623"/>
        <v>0</v>
      </c>
      <c r="L1931" s="391">
        <f t="shared" si="624"/>
        <v>0</v>
      </c>
      <c r="M1931" s="217"/>
      <c r="N1931" s="172"/>
      <c r="R1931" s="391">
        <f>R1932</f>
        <v>1181.1895999999999</v>
      </c>
      <c r="S1931" s="391">
        <f>S1932</f>
        <v>0</v>
      </c>
      <c r="T1931" s="217"/>
      <c r="U1931" s="288"/>
      <c r="V1931" s="288"/>
      <c r="W1931" s="203"/>
      <c r="X1931" s="203"/>
    </row>
    <row r="1932" spans="1:24" ht="15" hidden="1" x14ac:dyDescent="0.2">
      <c r="A1932" s="133" t="s">
        <v>1609</v>
      </c>
      <c r="B1932" s="388" t="s">
        <v>204</v>
      </c>
      <c r="C1932" s="389" t="s">
        <v>608</v>
      </c>
      <c r="D1932" s="389" t="s">
        <v>613</v>
      </c>
      <c r="E1932" s="515" t="s">
        <v>1805</v>
      </c>
      <c r="F1932" s="390"/>
      <c r="G1932" s="391">
        <f t="shared" si="625"/>
        <v>0</v>
      </c>
      <c r="H1932" s="391">
        <f t="shared" si="625"/>
        <v>0</v>
      </c>
      <c r="I1932" s="391">
        <f t="shared" si="625"/>
        <v>0</v>
      </c>
      <c r="J1932" s="391">
        <f t="shared" si="625"/>
        <v>0</v>
      </c>
      <c r="K1932" s="391">
        <f t="shared" si="623"/>
        <v>0</v>
      </c>
      <c r="L1932" s="391">
        <f t="shared" si="624"/>
        <v>0</v>
      </c>
      <c r="M1932" s="217"/>
      <c r="N1932" s="172"/>
      <c r="R1932" s="391">
        <f>R1933</f>
        <v>1181.1895999999999</v>
      </c>
      <c r="S1932" s="391">
        <f>S1933</f>
        <v>0</v>
      </c>
      <c r="T1932" s="217"/>
      <c r="U1932" s="288"/>
      <c r="V1932" s="288"/>
      <c r="W1932" s="203"/>
      <c r="X1932" s="203"/>
    </row>
    <row r="1933" spans="1:24" ht="15" hidden="1" x14ac:dyDescent="0.2">
      <c r="A1933" s="186" t="s">
        <v>126</v>
      </c>
      <c r="B1933" s="243" t="s">
        <v>204</v>
      </c>
      <c r="C1933" s="353" t="s">
        <v>608</v>
      </c>
      <c r="D1933" s="353" t="s">
        <v>613</v>
      </c>
      <c r="E1933" s="386" t="s">
        <v>1805</v>
      </c>
      <c r="F1933" s="369">
        <v>622</v>
      </c>
      <c r="G1933" s="288">
        <v>0</v>
      </c>
      <c r="H1933" s="288">
        <v>0</v>
      </c>
      <c r="I1933" s="288">
        <v>0</v>
      </c>
      <c r="J1933" s="288">
        <v>0</v>
      </c>
      <c r="K1933" s="43">
        <f t="shared" si="623"/>
        <v>0</v>
      </c>
      <c r="L1933" s="43">
        <f t="shared" si="624"/>
        <v>0</v>
      </c>
      <c r="M1933" s="217"/>
      <c r="N1933" s="172"/>
      <c r="R1933" s="288">
        <v>1181.1895999999999</v>
      </c>
      <c r="S1933" s="288"/>
      <c r="T1933" s="217"/>
      <c r="U1933" s="288"/>
      <c r="V1933" s="288"/>
      <c r="W1933" s="203"/>
      <c r="X1933" s="203"/>
    </row>
    <row r="1934" spans="1:24" ht="15" hidden="1" x14ac:dyDescent="0.2">
      <c r="A1934" s="133" t="s">
        <v>1722</v>
      </c>
      <c r="B1934" s="388" t="s">
        <v>204</v>
      </c>
      <c r="C1934" s="389" t="s">
        <v>608</v>
      </c>
      <c r="D1934" s="389" t="s">
        <v>613</v>
      </c>
      <c r="E1934" s="390">
        <v>8530600000</v>
      </c>
      <c r="F1934" s="390"/>
      <c r="G1934" s="391">
        <f t="shared" ref="G1934:J1935" si="626">G1935</f>
        <v>0</v>
      </c>
      <c r="H1934" s="391">
        <f t="shared" si="626"/>
        <v>0</v>
      </c>
      <c r="I1934" s="391">
        <f t="shared" si="626"/>
        <v>0</v>
      </c>
      <c r="J1934" s="391">
        <f t="shared" si="626"/>
        <v>0</v>
      </c>
      <c r="K1934" s="391">
        <f t="shared" si="623"/>
        <v>0</v>
      </c>
      <c r="L1934" s="391">
        <f t="shared" si="624"/>
        <v>0</v>
      </c>
      <c r="M1934" s="217"/>
      <c r="N1934" s="172"/>
      <c r="R1934" s="391">
        <f>R1935</f>
        <v>1800</v>
      </c>
      <c r="S1934" s="391">
        <f>S1935</f>
        <v>0</v>
      </c>
      <c r="T1934" s="217"/>
      <c r="U1934" s="288"/>
      <c r="V1934" s="288"/>
      <c r="W1934" s="203"/>
      <c r="X1934" s="203"/>
    </row>
    <row r="1935" spans="1:24" ht="15" hidden="1" x14ac:dyDescent="0.2">
      <c r="A1935" s="133" t="s">
        <v>43</v>
      </c>
      <c r="B1935" s="388" t="s">
        <v>204</v>
      </c>
      <c r="C1935" s="389" t="s">
        <v>608</v>
      </c>
      <c r="D1935" s="389" t="s">
        <v>613</v>
      </c>
      <c r="E1935" s="515" t="s">
        <v>1701</v>
      </c>
      <c r="F1935" s="390"/>
      <c r="G1935" s="391">
        <f t="shared" si="626"/>
        <v>0</v>
      </c>
      <c r="H1935" s="391">
        <f t="shared" si="626"/>
        <v>0</v>
      </c>
      <c r="I1935" s="391">
        <f t="shared" si="626"/>
        <v>0</v>
      </c>
      <c r="J1935" s="391">
        <f t="shared" si="626"/>
        <v>0</v>
      </c>
      <c r="K1935" s="391">
        <f t="shared" si="623"/>
        <v>0</v>
      </c>
      <c r="L1935" s="391">
        <f t="shared" si="624"/>
        <v>0</v>
      </c>
      <c r="M1935" s="217"/>
      <c r="N1935" s="172"/>
      <c r="R1935" s="391">
        <f>R1936</f>
        <v>1800</v>
      </c>
      <c r="S1935" s="391">
        <f>S1936</f>
        <v>0</v>
      </c>
      <c r="T1935" s="217"/>
      <c r="U1935" s="288"/>
      <c r="V1935" s="288"/>
      <c r="W1935" s="203"/>
      <c r="X1935" s="203"/>
    </row>
    <row r="1936" spans="1:24" ht="15" hidden="1" x14ac:dyDescent="0.2">
      <c r="A1936" s="186" t="s">
        <v>126</v>
      </c>
      <c r="B1936" s="243" t="s">
        <v>204</v>
      </c>
      <c r="C1936" s="353" t="s">
        <v>608</v>
      </c>
      <c r="D1936" s="353" t="s">
        <v>613</v>
      </c>
      <c r="E1936" s="386" t="s">
        <v>1701</v>
      </c>
      <c r="F1936" s="369">
        <v>622</v>
      </c>
      <c r="G1936" s="288"/>
      <c r="H1936" s="288"/>
      <c r="I1936" s="288"/>
      <c r="J1936" s="288"/>
      <c r="K1936" s="43">
        <f t="shared" si="623"/>
        <v>0</v>
      </c>
      <c r="L1936" s="43">
        <f t="shared" si="624"/>
        <v>0</v>
      </c>
      <c r="M1936" s="217"/>
      <c r="N1936" s="172"/>
      <c r="R1936" s="288">
        <v>1800</v>
      </c>
      <c r="S1936" s="288"/>
      <c r="T1936" s="217"/>
      <c r="U1936" s="288"/>
      <c r="V1936" s="288"/>
      <c r="W1936" s="203"/>
      <c r="X1936" s="203"/>
    </row>
    <row r="1937" spans="1:24" ht="31.5" customHeight="1" x14ac:dyDescent="0.2">
      <c r="A1937" s="741" t="s">
        <v>1721</v>
      </c>
      <c r="B1937" s="388" t="s">
        <v>204</v>
      </c>
      <c r="C1937" s="389" t="s">
        <v>608</v>
      </c>
      <c r="D1937" s="389" t="s">
        <v>613</v>
      </c>
      <c r="E1937" s="390">
        <v>8530700000</v>
      </c>
      <c r="F1937" s="390"/>
      <c r="G1937" s="391">
        <f t="shared" ref="G1937:J1938" si="627">G1938</f>
        <v>568.57000000000005</v>
      </c>
      <c r="H1937" s="391">
        <f t="shared" si="627"/>
        <v>0</v>
      </c>
      <c r="I1937" s="391">
        <f t="shared" si="627"/>
        <v>568.57000000000005</v>
      </c>
      <c r="J1937" s="391">
        <f t="shared" si="627"/>
        <v>0</v>
      </c>
      <c r="K1937" s="391">
        <f t="shared" si="623"/>
        <v>0</v>
      </c>
      <c r="L1937" s="391">
        <f t="shared" si="624"/>
        <v>0</v>
      </c>
      <c r="M1937" s="217"/>
      <c r="N1937" s="172"/>
      <c r="R1937" s="391">
        <f>R1938</f>
        <v>568.57000000000005</v>
      </c>
      <c r="S1937" s="391">
        <f>S1938</f>
        <v>0</v>
      </c>
      <c r="T1937" s="217"/>
      <c r="U1937" s="288"/>
      <c r="V1937" s="288"/>
      <c r="W1937" s="203"/>
      <c r="X1937" s="203"/>
    </row>
    <row r="1938" spans="1:24" ht="15" x14ac:dyDescent="0.2">
      <c r="A1938" s="741" t="s">
        <v>1720</v>
      </c>
      <c r="B1938" s="388" t="s">
        <v>204</v>
      </c>
      <c r="C1938" s="389" t="s">
        <v>608</v>
      </c>
      <c r="D1938" s="389" t="s">
        <v>613</v>
      </c>
      <c r="E1938" s="515" t="s">
        <v>1672</v>
      </c>
      <c r="F1938" s="390"/>
      <c r="G1938" s="391">
        <f t="shared" si="627"/>
        <v>568.57000000000005</v>
      </c>
      <c r="H1938" s="391">
        <f t="shared" si="627"/>
        <v>0</v>
      </c>
      <c r="I1938" s="391">
        <f t="shared" si="627"/>
        <v>568.57000000000005</v>
      </c>
      <c r="J1938" s="391">
        <f t="shared" si="627"/>
        <v>0</v>
      </c>
      <c r="K1938" s="391">
        <f t="shared" si="623"/>
        <v>0</v>
      </c>
      <c r="L1938" s="391">
        <f t="shared" si="624"/>
        <v>0</v>
      </c>
      <c r="M1938" s="217"/>
      <c r="N1938" s="172"/>
      <c r="R1938" s="391">
        <f>R1939</f>
        <v>568.57000000000005</v>
      </c>
      <c r="S1938" s="391">
        <f>S1939</f>
        <v>0</v>
      </c>
      <c r="T1938" s="217"/>
      <c r="U1938" s="288"/>
      <c r="V1938" s="288"/>
      <c r="W1938" s="203"/>
      <c r="X1938" s="203"/>
    </row>
    <row r="1939" spans="1:24" ht="15" x14ac:dyDescent="0.2">
      <c r="A1939" s="744" t="s">
        <v>126</v>
      </c>
      <c r="B1939" s="243" t="s">
        <v>204</v>
      </c>
      <c r="C1939" s="353" t="s">
        <v>608</v>
      </c>
      <c r="D1939" s="353" t="s">
        <v>613</v>
      </c>
      <c r="E1939" s="369" t="s">
        <v>1672</v>
      </c>
      <c r="F1939" s="369">
        <v>622</v>
      </c>
      <c r="G1939" s="288">
        <v>568.57000000000005</v>
      </c>
      <c r="H1939" s="288"/>
      <c r="I1939" s="288">
        <v>568.57000000000005</v>
      </c>
      <c r="J1939" s="288"/>
      <c r="K1939" s="43">
        <f t="shared" si="623"/>
        <v>0</v>
      </c>
      <c r="L1939" s="43">
        <f t="shared" si="624"/>
        <v>0</v>
      </c>
      <c r="M1939" s="217"/>
      <c r="N1939" s="172"/>
      <c r="R1939" s="288">
        <v>568.57000000000005</v>
      </c>
      <c r="S1939" s="288"/>
      <c r="T1939" s="217"/>
      <c r="U1939" s="288"/>
      <c r="V1939" s="288"/>
      <c r="W1939" s="203"/>
      <c r="X1939" s="203"/>
    </row>
    <row r="1940" spans="1:24" ht="26.25" hidden="1" customHeight="1" x14ac:dyDescent="0.2">
      <c r="A1940" s="133" t="s">
        <v>1807</v>
      </c>
      <c r="B1940" s="388" t="s">
        <v>204</v>
      </c>
      <c r="C1940" s="389" t="s">
        <v>608</v>
      </c>
      <c r="D1940" s="389" t="s">
        <v>613</v>
      </c>
      <c r="E1940" s="390">
        <v>8530800000</v>
      </c>
      <c r="F1940" s="390"/>
      <c r="G1940" s="391">
        <f>G1943+G1941</f>
        <v>0</v>
      </c>
      <c r="H1940" s="391">
        <f>H1943+H1941</f>
        <v>0</v>
      </c>
      <c r="I1940" s="391">
        <f>I1943+I1941</f>
        <v>0</v>
      </c>
      <c r="J1940" s="391">
        <f>J1943+J1941</f>
        <v>0</v>
      </c>
      <c r="K1940" s="391">
        <f t="shared" si="623"/>
        <v>0</v>
      </c>
      <c r="L1940" s="391">
        <f t="shared" si="624"/>
        <v>0</v>
      </c>
      <c r="M1940" s="217"/>
      <c r="N1940" s="172"/>
      <c r="R1940" s="288"/>
      <c r="S1940" s="288"/>
      <c r="T1940" s="217"/>
      <c r="U1940" s="288"/>
      <c r="V1940" s="288"/>
      <c r="W1940" s="203"/>
      <c r="X1940" s="203"/>
    </row>
    <row r="1941" spans="1:24" ht="14.25" hidden="1" customHeight="1" x14ac:dyDescent="0.2">
      <c r="A1941" s="133" t="s">
        <v>294</v>
      </c>
      <c r="B1941" s="388" t="s">
        <v>204</v>
      </c>
      <c r="C1941" s="389" t="s">
        <v>608</v>
      </c>
      <c r="D1941" s="389" t="s">
        <v>613</v>
      </c>
      <c r="E1941" s="515" t="s">
        <v>1834</v>
      </c>
      <c r="F1941" s="390"/>
      <c r="G1941" s="391">
        <f t="shared" ref="G1941:J1943" si="628">G1942</f>
        <v>0</v>
      </c>
      <c r="H1941" s="391">
        <f t="shared" si="628"/>
        <v>0</v>
      </c>
      <c r="I1941" s="391">
        <f t="shared" si="628"/>
        <v>0</v>
      </c>
      <c r="J1941" s="391">
        <f t="shared" si="628"/>
        <v>0</v>
      </c>
      <c r="K1941" s="391">
        <f t="shared" si="623"/>
        <v>0</v>
      </c>
      <c r="L1941" s="391">
        <f t="shared" si="624"/>
        <v>0</v>
      </c>
      <c r="M1941" s="217"/>
      <c r="N1941" s="172"/>
      <c r="R1941" s="288"/>
      <c r="S1941" s="288"/>
      <c r="T1941" s="217"/>
      <c r="U1941" s="288"/>
      <c r="V1941" s="288"/>
      <c r="W1941" s="203"/>
      <c r="X1941" s="203"/>
    </row>
    <row r="1942" spans="1:24" ht="14.25" hidden="1" customHeight="1" x14ac:dyDescent="0.2">
      <c r="A1942" s="186" t="s">
        <v>126</v>
      </c>
      <c r="B1942" s="243" t="s">
        <v>204</v>
      </c>
      <c r="C1942" s="353" t="s">
        <v>608</v>
      </c>
      <c r="D1942" s="353" t="s">
        <v>613</v>
      </c>
      <c r="E1942" s="369" t="s">
        <v>1834</v>
      </c>
      <c r="F1942" s="369">
        <v>622</v>
      </c>
      <c r="G1942" s="288"/>
      <c r="H1942" s="288"/>
      <c r="I1942" s="288"/>
      <c r="J1942" s="288"/>
      <c r="K1942" s="43">
        <f t="shared" si="623"/>
        <v>0</v>
      </c>
      <c r="L1942" s="43">
        <f t="shared" si="624"/>
        <v>0</v>
      </c>
      <c r="M1942" s="217"/>
      <c r="N1942" s="172"/>
      <c r="R1942" s="288"/>
      <c r="S1942" s="288"/>
      <c r="T1942" s="217"/>
      <c r="U1942" s="288"/>
      <c r="V1942" s="288"/>
      <c r="W1942" s="203"/>
      <c r="X1942" s="203"/>
    </row>
    <row r="1943" spans="1:24" ht="15" hidden="1" x14ac:dyDescent="0.2">
      <c r="A1943" s="133" t="s">
        <v>43</v>
      </c>
      <c r="B1943" s="388" t="s">
        <v>204</v>
      </c>
      <c r="C1943" s="389" t="s">
        <v>608</v>
      </c>
      <c r="D1943" s="389" t="s">
        <v>613</v>
      </c>
      <c r="E1943" s="515" t="s">
        <v>1702</v>
      </c>
      <c r="F1943" s="390"/>
      <c r="G1943" s="391">
        <f t="shared" si="628"/>
        <v>0</v>
      </c>
      <c r="H1943" s="391">
        <f t="shared" si="628"/>
        <v>0</v>
      </c>
      <c r="I1943" s="391">
        <f t="shared" si="628"/>
        <v>0</v>
      </c>
      <c r="J1943" s="391">
        <f t="shared" si="628"/>
        <v>0</v>
      </c>
      <c r="K1943" s="391">
        <f t="shared" si="623"/>
        <v>0</v>
      </c>
      <c r="L1943" s="391">
        <f t="shared" si="624"/>
        <v>0</v>
      </c>
      <c r="M1943" s="217"/>
      <c r="N1943" s="172"/>
      <c r="R1943" s="288"/>
      <c r="S1943" s="288"/>
      <c r="T1943" s="217"/>
      <c r="U1943" s="288"/>
      <c r="V1943" s="288"/>
      <c r="W1943" s="203"/>
      <c r="X1943" s="203"/>
    </row>
    <row r="1944" spans="1:24" ht="15" hidden="1" x14ac:dyDescent="0.2">
      <c r="A1944" s="186" t="s">
        <v>126</v>
      </c>
      <c r="B1944" s="243" t="s">
        <v>204</v>
      </c>
      <c r="C1944" s="353" t="s">
        <v>608</v>
      </c>
      <c r="D1944" s="353" t="s">
        <v>613</v>
      </c>
      <c r="E1944" s="369" t="s">
        <v>1702</v>
      </c>
      <c r="F1944" s="369">
        <v>622</v>
      </c>
      <c r="G1944" s="288"/>
      <c r="H1944" s="288"/>
      <c r="I1944" s="288"/>
      <c r="J1944" s="288"/>
      <c r="K1944" s="43">
        <f t="shared" si="623"/>
        <v>0</v>
      </c>
      <c r="L1944" s="43">
        <f t="shared" si="624"/>
        <v>0</v>
      </c>
      <c r="M1944" s="217"/>
      <c r="N1944" s="172"/>
      <c r="R1944" s="288"/>
      <c r="S1944" s="288"/>
      <c r="T1944" s="217"/>
      <c r="U1944" s="288"/>
      <c r="V1944" s="288"/>
      <c r="W1944" s="203"/>
      <c r="X1944" s="203"/>
    </row>
    <row r="1945" spans="1:24" ht="25.5" x14ac:dyDescent="0.2">
      <c r="A1945" s="741" t="s">
        <v>1880</v>
      </c>
      <c r="B1945" s="388" t="s">
        <v>204</v>
      </c>
      <c r="C1945" s="389" t="s">
        <v>608</v>
      </c>
      <c r="D1945" s="389" t="s">
        <v>613</v>
      </c>
      <c r="E1945" s="390">
        <v>8531200000</v>
      </c>
      <c r="F1945" s="390"/>
      <c r="G1945" s="391">
        <f>G1946</f>
        <v>10397.299999999999</v>
      </c>
      <c r="H1945" s="391">
        <f t="shared" ref="H1945:L1946" si="629">H1946</f>
        <v>0</v>
      </c>
      <c r="I1945" s="391">
        <f t="shared" si="629"/>
        <v>10397.299999999999</v>
      </c>
      <c r="J1945" s="391">
        <f t="shared" si="629"/>
        <v>0</v>
      </c>
      <c r="K1945" s="391">
        <f t="shared" si="629"/>
        <v>0</v>
      </c>
      <c r="L1945" s="391">
        <f t="shared" si="629"/>
        <v>0</v>
      </c>
      <c r="M1945" s="217"/>
      <c r="N1945" s="172"/>
      <c r="R1945" s="288"/>
      <c r="S1945" s="288"/>
      <c r="T1945" s="217"/>
      <c r="U1945" s="288"/>
      <c r="V1945" s="288"/>
      <c r="W1945" s="203"/>
      <c r="X1945" s="203"/>
    </row>
    <row r="1946" spans="1:24" ht="38.25" x14ac:dyDescent="0.2">
      <c r="A1946" s="741" t="s">
        <v>1891</v>
      </c>
      <c r="B1946" s="388" t="s">
        <v>204</v>
      </c>
      <c r="C1946" s="389" t="s">
        <v>608</v>
      </c>
      <c r="D1946" s="389" t="s">
        <v>613</v>
      </c>
      <c r="E1946" s="515" t="s">
        <v>1890</v>
      </c>
      <c r="F1946" s="390"/>
      <c r="G1946" s="391">
        <f>G1947</f>
        <v>10397.299999999999</v>
      </c>
      <c r="H1946" s="391">
        <f t="shared" si="629"/>
        <v>0</v>
      </c>
      <c r="I1946" s="391">
        <f t="shared" si="629"/>
        <v>10397.299999999999</v>
      </c>
      <c r="J1946" s="391">
        <f t="shared" si="629"/>
        <v>0</v>
      </c>
      <c r="K1946" s="391">
        <f t="shared" si="629"/>
        <v>0</v>
      </c>
      <c r="L1946" s="391">
        <f t="shared" si="629"/>
        <v>0</v>
      </c>
      <c r="M1946" s="217"/>
      <c r="N1946" s="172"/>
      <c r="R1946" s="288"/>
      <c r="S1946" s="288"/>
      <c r="T1946" s="217"/>
      <c r="U1946" s="288"/>
      <c r="V1946" s="288"/>
      <c r="W1946" s="203"/>
      <c r="X1946" s="203"/>
    </row>
    <row r="1947" spans="1:24" ht="15" x14ac:dyDescent="0.2">
      <c r="A1947" s="744" t="s">
        <v>126</v>
      </c>
      <c r="B1947" s="243" t="s">
        <v>204</v>
      </c>
      <c r="C1947" s="353" t="s">
        <v>608</v>
      </c>
      <c r="D1947" s="353" t="s">
        <v>613</v>
      </c>
      <c r="E1947" s="369" t="s">
        <v>1890</v>
      </c>
      <c r="F1947" s="369">
        <v>622</v>
      </c>
      <c r="G1947" s="288">
        <v>10397.299999999999</v>
      </c>
      <c r="H1947" s="288"/>
      <c r="I1947" s="288">
        <v>10397.299999999999</v>
      </c>
      <c r="J1947" s="288"/>
      <c r="K1947" s="43">
        <f>I1947-G1947</f>
        <v>0</v>
      </c>
      <c r="L1947" s="43">
        <f>J1947-H1947</f>
        <v>0</v>
      </c>
      <c r="M1947" s="217"/>
      <c r="N1947" s="172"/>
      <c r="R1947" s="288"/>
      <c r="S1947" s="288"/>
      <c r="T1947" s="217"/>
      <c r="U1947" s="288"/>
      <c r="V1947" s="288"/>
      <c r="W1947" s="203"/>
      <c r="X1947" s="203"/>
    </row>
    <row r="1948" spans="1:24" ht="25.5" x14ac:dyDescent="0.2">
      <c r="A1948" s="741" t="s">
        <v>1887</v>
      </c>
      <c r="B1948" s="388" t="s">
        <v>204</v>
      </c>
      <c r="C1948" s="389" t="s">
        <v>608</v>
      </c>
      <c r="D1948" s="389" t="s">
        <v>613</v>
      </c>
      <c r="E1948" s="390">
        <v>8531300000</v>
      </c>
      <c r="F1948" s="390"/>
      <c r="G1948" s="391">
        <f t="shared" ref="G1948:L1948" si="630">G1953+G1949+G1951</f>
        <v>7394.3099999999995</v>
      </c>
      <c r="H1948" s="391">
        <f t="shared" si="630"/>
        <v>0</v>
      </c>
      <c r="I1948" s="391">
        <f t="shared" si="630"/>
        <v>3845.3999999999996</v>
      </c>
      <c r="J1948" s="391">
        <f t="shared" si="630"/>
        <v>0</v>
      </c>
      <c r="K1948" s="391">
        <f t="shared" si="630"/>
        <v>-3548.91</v>
      </c>
      <c r="L1948" s="391">
        <f t="shared" si="630"/>
        <v>0</v>
      </c>
      <c r="M1948" s="217"/>
      <c r="N1948" s="172"/>
      <c r="R1948" s="288"/>
      <c r="S1948" s="288"/>
      <c r="T1948" s="217"/>
      <c r="U1948" s="288"/>
      <c r="V1948" s="288"/>
      <c r="W1948" s="203"/>
      <c r="X1948" s="203"/>
    </row>
    <row r="1949" spans="1:24" ht="25.5" x14ac:dyDescent="0.2">
      <c r="A1949" s="741" t="s">
        <v>1908</v>
      </c>
      <c r="B1949" s="388" t="s">
        <v>204</v>
      </c>
      <c r="C1949" s="389" t="s">
        <v>608</v>
      </c>
      <c r="D1949" s="389" t="s">
        <v>613</v>
      </c>
      <c r="E1949" s="515">
        <v>8531374810</v>
      </c>
      <c r="F1949" s="390"/>
      <c r="G1949" s="391">
        <f>G1950</f>
        <v>2474.8771999999999</v>
      </c>
      <c r="H1949" s="391"/>
      <c r="I1949" s="391">
        <f>I1950</f>
        <v>2474.8771999999999</v>
      </c>
      <c r="J1949" s="391"/>
      <c r="K1949" s="43">
        <f t="shared" ref="K1949:L1952" si="631">I1949-G1949</f>
        <v>0</v>
      </c>
      <c r="L1949" s="43">
        <f t="shared" si="631"/>
        <v>0</v>
      </c>
      <c r="M1949" s="217"/>
      <c r="N1949" s="172"/>
      <c r="R1949" s="288"/>
      <c r="S1949" s="288"/>
      <c r="T1949" s="217"/>
      <c r="U1949" s="288"/>
      <c r="V1949" s="288"/>
      <c r="W1949" s="203"/>
      <c r="X1949" s="203"/>
    </row>
    <row r="1950" spans="1:24" ht="15" x14ac:dyDescent="0.2">
      <c r="A1950" s="744" t="s">
        <v>126</v>
      </c>
      <c r="B1950" s="243" t="s">
        <v>204</v>
      </c>
      <c r="C1950" s="353" t="s">
        <v>608</v>
      </c>
      <c r="D1950" s="353" t="s">
        <v>613</v>
      </c>
      <c r="E1950" s="369">
        <v>8531374810</v>
      </c>
      <c r="F1950" s="369">
        <v>622</v>
      </c>
      <c r="G1950" s="288">
        <v>2474.8771999999999</v>
      </c>
      <c r="H1950" s="288"/>
      <c r="I1950" s="288">
        <v>2474.8771999999999</v>
      </c>
      <c r="J1950" s="288"/>
      <c r="K1950" s="43">
        <f t="shared" si="631"/>
        <v>0</v>
      </c>
      <c r="L1950" s="43">
        <f t="shared" si="631"/>
        <v>0</v>
      </c>
      <c r="M1950" s="217"/>
      <c r="N1950" s="172"/>
      <c r="R1950" s="288"/>
      <c r="S1950" s="288"/>
      <c r="T1950" s="217"/>
      <c r="U1950" s="288"/>
      <c r="V1950" s="288"/>
      <c r="W1950" s="203"/>
      <c r="X1950" s="203"/>
    </row>
    <row r="1951" spans="1:24" ht="15" x14ac:dyDescent="0.2">
      <c r="A1951" s="741" t="s">
        <v>294</v>
      </c>
      <c r="B1951" s="388" t="s">
        <v>204</v>
      </c>
      <c r="C1951" s="389" t="s">
        <v>608</v>
      </c>
      <c r="D1951" s="389" t="s">
        <v>613</v>
      </c>
      <c r="E1951" s="515" t="s">
        <v>1954</v>
      </c>
      <c r="F1951" s="390"/>
      <c r="G1951" s="391">
        <f>G1952</f>
        <v>3548.91</v>
      </c>
      <c r="H1951" s="391"/>
      <c r="I1951" s="391">
        <f>I1952</f>
        <v>1370.5228</v>
      </c>
      <c r="J1951" s="391"/>
      <c r="K1951" s="43">
        <f t="shared" si="631"/>
        <v>-2178.3872000000001</v>
      </c>
      <c r="L1951" s="43">
        <f t="shared" si="631"/>
        <v>0</v>
      </c>
      <c r="M1951" s="217"/>
      <c r="N1951" s="172"/>
      <c r="R1951" s="288"/>
      <c r="S1951" s="288"/>
      <c r="T1951" s="217"/>
      <c r="U1951" s="288"/>
      <c r="V1951" s="288"/>
      <c r="W1951" s="203"/>
      <c r="X1951" s="203"/>
    </row>
    <row r="1952" spans="1:24" ht="15" x14ac:dyDescent="0.2">
      <c r="A1952" s="744" t="s">
        <v>126</v>
      </c>
      <c r="B1952" s="243" t="s">
        <v>204</v>
      </c>
      <c r="C1952" s="353" t="s">
        <v>608</v>
      </c>
      <c r="D1952" s="353" t="s">
        <v>613</v>
      </c>
      <c r="E1952" s="369" t="s">
        <v>1954</v>
      </c>
      <c r="F1952" s="369">
        <v>622</v>
      </c>
      <c r="G1952" s="288">
        <v>3548.91</v>
      </c>
      <c r="H1952" s="288"/>
      <c r="I1952" s="288">
        <v>1370.5228</v>
      </c>
      <c r="J1952" s="288"/>
      <c r="K1952" s="43">
        <f t="shared" si="631"/>
        <v>-2178.3872000000001</v>
      </c>
      <c r="L1952" s="43">
        <f t="shared" si="631"/>
        <v>0</v>
      </c>
      <c r="M1952" s="217"/>
      <c r="N1952" s="172"/>
      <c r="R1952" s="288"/>
      <c r="S1952" s="288"/>
      <c r="T1952" s="217"/>
      <c r="U1952" s="288"/>
      <c r="V1952" s="288"/>
      <c r="W1952" s="203"/>
      <c r="X1952" s="203"/>
    </row>
    <row r="1953" spans="1:24" ht="15" hidden="1" x14ac:dyDescent="0.2">
      <c r="A1953" s="133" t="s">
        <v>43</v>
      </c>
      <c r="B1953" s="388" t="s">
        <v>204</v>
      </c>
      <c r="C1953" s="389" t="s">
        <v>608</v>
      </c>
      <c r="D1953" s="389" t="s">
        <v>613</v>
      </c>
      <c r="E1953" s="515" t="s">
        <v>1886</v>
      </c>
      <c r="F1953" s="390"/>
      <c r="G1953" s="391">
        <f>G1954</f>
        <v>1370.5228</v>
      </c>
      <c r="H1953" s="391"/>
      <c r="I1953" s="715">
        <f>I1954</f>
        <v>0</v>
      </c>
      <c r="J1953" s="391"/>
      <c r="K1953" s="43">
        <f t="shared" si="623"/>
        <v>-1370.5228</v>
      </c>
      <c r="L1953" s="43">
        <f t="shared" si="624"/>
        <v>0</v>
      </c>
      <c r="M1953" s="217"/>
      <c r="N1953" s="172"/>
      <c r="R1953" s="288"/>
      <c r="S1953" s="288"/>
      <c r="T1953" s="217"/>
      <c r="U1953" s="288"/>
      <c r="V1953" s="288"/>
      <c r="W1953" s="203"/>
      <c r="X1953" s="203"/>
    </row>
    <row r="1954" spans="1:24" ht="15" hidden="1" x14ac:dyDescent="0.2">
      <c r="A1954" s="186" t="s">
        <v>126</v>
      </c>
      <c r="B1954" s="243" t="s">
        <v>204</v>
      </c>
      <c r="C1954" s="353" t="s">
        <v>608</v>
      </c>
      <c r="D1954" s="353" t="s">
        <v>613</v>
      </c>
      <c r="E1954" s="369" t="s">
        <v>1886</v>
      </c>
      <c r="F1954" s="369">
        <v>622</v>
      </c>
      <c r="G1954" s="288">
        <f>545.4+825.1228</f>
        <v>1370.5228</v>
      </c>
      <c r="H1954" s="288"/>
      <c r="I1954" s="713">
        <v>0</v>
      </c>
      <c r="J1954" s="288"/>
      <c r="K1954" s="43">
        <f t="shared" si="623"/>
        <v>-1370.5228</v>
      </c>
      <c r="L1954" s="43">
        <f t="shared" si="624"/>
        <v>0</v>
      </c>
      <c r="M1954" s="217"/>
      <c r="N1954" s="172"/>
      <c r="R1954" s="288"/>
      <c r="S1954" s="288"/>
      <c r="T1954" s="217"/>
      <c r="U1954" s="288"/>
      <c r="V1954" s="288"/>
      <c r="W1954" s="203"/>
      <c r="X1954" s="203"/>
    </row>
    <row r="1955" spans="1:24" ht="39" customHeight="1" x14ac:dyDescent="0.2">
      <c r="A1955" s="741" t="s">
        <v>1912</v>
      </c>
      <c r="B1955" s="388" t="s">
        <v>204</v>
      </c>
      <c r="C1955" s="389" t="s">
        <v>608</v>
      </c>
      <c r="D1955" s="389" t="s">
        <v>613</v>
      </c>
      <c r="E1955" s="390">
        <v>8531400000</v>
      </c>
      <c r="F1955" s="390"/>
      <c r="G1955" s="391">
        <f t="shared" ref="G1955:L1955" si="632">G1958+G1956</f>
        <v>3656.1570000000002</v>
      </c>
      <c r="H1955" s="391">
        <f t="shared" si="632"/>
        <v>0</v>
      </c>
      <c r="I1955" s="391">
        <f t="shared" si="632"/>
        <v>3000</v>
      </c>
      <c r="J1955" s="391">
        <f t="shared" si="632"/>
        <v>0</v>
      </c>
      <c r="K1955" s="391">
        <f t="shared" si="632"/>
        <v>-656.15700000000015</v>
      </c>
      <c r="L1955" s="391">
        <f t="shared" si="632"/>
        <v>0</v>
      </c>
      <c r="M1955" s="217"/>
      <c r="N1955" s="172"/>
      <c r="R1955" s="288"/>
      <c r="S1955" s="288"/>
      <c r="T1955" s="217"/>
      <c r="U1955" s="288"/>
      <c r="V1955" s="288"/>
      <c r="W1955" s="203"/>
      <c r="X1955" s="203"/>
    </row>
    <row r="1956" spans="1:24" ht="18.75" customHeight="1" x14ac:dyDescent="0.2">
      <c r="A1956" s="741" t="s">
        <v>294</v>
      </c>
      <c r="B1956" s="388" t="s">
        <v>204</v>
      </c>
      <c r="C1956" s="389" t="s">
        <v>608</v>
      </c>
      <c r="D1956" s="389" t="s">
        <v>613</v>
      </c>
      <c r="E1956" s="515" t="s">
        <v>1955</v>
      </c>
      <c r="F1956" s="390"/>
      <c r="G1956" s="391">
        <f>G1957</f>
        <v>1735.104</v>
      </c>
      <c r="H1956" s="391"/>
      <c r="I1956" s="391">
        <f>I1957</f>
        <v>1735.104</v>
      </c>
      <c r="J1956" s="391"/>
      <c r="K1956" s="43">
        <f>I1956-G1956</f>
        <v>0</v>
      </c>
      <c r="L1956" s="43">
        <f>J1956-H1956</f>
        <v>0</v>
      </c>
      <c r="M1956" s="217"/>
      <c r="N1956" s="172"/>
      <c r="R1956" s="288"/>
      <c r="S1956" s="288"/>
      <c r="T1956" s="217"/>
      <c r="U1956" s="288"/>
      <c r="V1956" s="288"/>
      <c r="W1956" s="203"/>
      <c r="X1956" s="203"/>
    </row>
    <row r="1957" spans="1:24" ht="18.75" customHeight="1" x14ac:dyDescent="0.2">
      <c r="A1957" s="744" t="s">
        <v>126</v>
      </c>
      <c r="B1957" s="243" t="s">
        <v>204</v>
      </c>
      <c r="C1957" s="353" t="s">
        <v>608</v>
      </c>
      <c r="D1957" s="353" t="s">
        <v>613</v>
      </c>
      <c r="E1957" s="386" t="s">
        <v>1955</v>
      </c>
      <c r="F1957" s="369">
        <v>622</v>
      </c>
      <c r="G1957" s="288">
        <v>1735.104</v>
      </c>
      <c r="H1957" s="288"/>
      <c r="I1957" s="288">
        <v>1735.104</v>
      </c>
      <c r="J1957" s="288"/>
      <c r="K1957" s="43">
        <f>I1957-G1957</f>
        <v>0</v>
      </c>
      <c r="L1957" s="43">
        <f>J1957-H1957</f>
        <v>0</v>
      </c>
      <c r="M1957" s="217"/>
      <c r="N1957" s="172"/>
      <c r="R1957" s="288"/>
      <c r="S1957" s="288"/>
      <c r="T1957" s="217"/>
      <c r="U1957" s="288"/>
      <c r="V1957" s="288"/>
      <c r="W1957" s="203"/>
      <c r="X1957" s="203"/>
    </row>
    <row r="1958" spans="1:24" ht="15" x14ac:dyDescent="0.2">
      <c r="A1958" s="741" t="s">
        <v>43</v>
      </c>
      <c r="B1958" s="388" t="s">
        <v>204</v>
      </c>
      <c r="C1958" s="389" t="s">
        <v>608</v>
      </c>
      <c r="D1958" s="389" t="s">
        <v>613</v>
      </c>
      <c r="E1958" s="515" t="s">
        <v>1911</v>
      </c>
      <c r="F1958" s="390"/>
      <c r="G1958" s="391">
        <f t="shared" ref="G1958:L1958" si="633">G1959</f>
        <v>1921.0530000000001</v>
      </c>
      <c r="H1958" s="391">
        <f t="shared" si="633"/>
        <v>0</v>
      </c>
      <c r="I1958" s="391">
        <f t="shared" si="633"/>
        <v>1264.896</v>
      </c>
      <c r="J1958" s="391">
        <f t="shared" si="633"/>
        <v>0</v>
      </c>
      <c r="K1958" s="391">
        <f t="shared" si="633"/>
        <v>-656.15700000000015</v>
      </c>
      <c r="L1958" s="391">
        <f t="shared" si="633"/>
        <v>0</v>
      </c>
      <c r="M1958" s="217"/>
      <c r="N1958" s="172"/>
      <c r="R1958" s="288"/>
      <c r="S1958" s="288"/>
      <c r="T1958" s="217"/>
      <c r="U1958" s="288"/>
      <c r="V1958" s="288"/>
      <c r="W1958" s="203"/>
      <c r="X1958" s="203"/>
    </row>
    <row r="1959" spans="1:24" ht="15" x14ac:dyDescent="0.2">
      <c r="A1959" s="744" t="s">
        <v>126</v>
      </c>
      <c r="B1959" s="243" t="s">
        <v>204</v>
      </c>
      <c r="C1959" s="353" t="s">
        <v>608</v>
      </c>
      <c r="D1959" s="353" t="s">
        <v>613</v>
      </c>
      <c r="E1959" s="369" t="s">
        <v>1911</v>
      </c>
      <c r="F1959" s="369">
        <v>622</v>
      </c>
      <c r="G1959" s="288">
        <v>1921.0530000000001</v>
      </c>
      <c r="H1959" s="288"/>
      <c r="I1959" s="288">
        <v>1264.896</v>
      </c>
      <c r="J1959" s="288"/>
      <c r="K1959" s="43">
        <f>I1959-G1959</f>
        <v>-656.15700000000015</v>
      </c>
      <c r="L1959" s="43">
        <f>J1959-H1959</f>
        <v>0</v>
      </c>
      <c r="M1959" s="217"/>
      <c r="N1959" s="172"/>
      <c r="R1959" s="288"/>
      <c r="S1959" s="288"/>
      <c r="T1959" s="217"/>
      <c r="U1959" s="288"/>
      <c r="V1959" s="288"/>
      <c r="W1959" s="203"/>
      <c r="X1959" s="203"/>
    </row>
    <row r="1960" spans="1:24" ht="25.5" hidden="1" x14ac:dyDescent="0.2">
      <c r="A1960" s="133" t="s">
        <v>1956</v>
      </c>
      <c r="B1960" s="388" t="s">
        <v>204</v>
      </c>
      <c r="C1960" s="389" t="s">
        <v>608</v>
      </c>
      <c r="D1960" s="389" t="s">
        <v>613</v>
      </c>
      <c r="E1960" s="390">
        <v>8531500000</v>
      </c>
      <c r="F1960" s="390"/>
      <c r="G1960" s="391">
        <f>G1961</f>
        <v>0</v>
      </c>
      <c r="H1960" s="391">
        <f t="shared" ref="H1960:L1961" si="634">H1961</f>
        <v>0</v>
      </c>
      <c r="I1960" s="715">
        <f t="shared" si="634"/>
        <v>0</v>
      </c>
      <c r="J1960" s="391">
        <f t="shared" si="634"/>
        <v>0</v>
      </c>
      <c r="K1960" s="391">
        <f t="shared" si="634"/>
        <v>0</v>
      </c>
      <c r="L1960" s="391">
        <f t="shared" si="634"/>
        <v>0</v>
      </c>
      <c r="M1960" s="217"/>
      <c r="N1960" s="172"/>
      <c r="R1960" s="288"/>
      <c r="S1960" s="288"/>
      <c r="T1960" s="217"/>
      <c r="U1960" s="288"/>
      <c r="V1960" s="288"/>
      <c r="W1960" s="203"/>
      <c r="X1960" s="203"/>
    </row>
    <row r="1961" spans="1:24" ht="15" hidden="1" x14ac:dyDescent="0.2">
      <c r="A1961" s="133" t="s">
        <v>294</v>
      </c>
      <c r="B1961" s="388" t="s">
        <v>204</v>
      </c>
      <c r="C1961" s="389" t="s">
        <v>608</v>
      </c>
      <c r="D1961" s="389" t="s">
        <v>613</v>
      </c>
      <c r="E1961" s="390" t="s">
        <v>1958</v>
      </c>
      <c r="F1961" s="390"/>
      <c r="G1961" s="391">
        <f>G1962</f>
        <v>0</v>
      </c>
      <c r="H1961" s="391">
        <f t="shared" si="634"/>
        <v>0</v>
      </c>
      <c r="I1961" s="715">
        <f t="shared" si="634"/>
        <v>0</v>
      </c>
      <c r="J1961" s="391">
        <f t="shared" si="634"/>
        <v>0</v>
      </c>
      <c r="K1961" s="391">
        <f t="shared" si="634"/>
        <v>0</v>
      </c>
      <c r="L1961" s="391">
        <f t="shared" si="634"/>
        <v>0</v>
      </c>
      <c r="M1961" s="217"/>
      <c r="N1961" s="172"/>
      <c r="R1961" s="288"/>
      <c r="S1961" s="288"/>
      <c r="T1961" s="217"/>
      <c r="U1961" s="288"/>
      <c r="V1961" s="288"/>
      <c r="W1961" s="203"/>
      <c r="X1961" s="203"/>
    </row>
    <row r="1962" spans="1:24" ht="15" hidden="1" x14ac:dyDescent="0.2">
      <c r="A1962" s="186" t="s">
        <v>164</v>
      </c>
      <c r="B1962" s="243" t="s">
        <v>204</v>
      </c>
      <c r="C1962" s="353" t="s">
        <v>608</v>
      </c>
      <c r="D1962" s="353" t="s">
        <v>613</v>
      </c>
      <c r="E1962" s="369" t="s">
        <v>1958</v>
      </c>
      <c r="F1962" s="369">
        <v>540</v>
      </c>
      <c r="G1962" s="713">
        <v>0</v>
      </c>
      <c r="H1962" s="288"/>
      <c r="I1962" s="713">
        <v>0</v>
      </c>
      <c r="J1962" s="288"/>
      <c r="K1962" s="43">
        <f>I1962-G1962</f>
        <v>0</v>
      </c>
      <c r="L1962" s="43">
        <f>J1962-H1962</f>
        <v>0</v>
      </c>
      <c r="M1962" s="217"/>
      <c r="N1962" s="172"/>
      <c r="R1962" s="288"/>
      <c r="S1962" s="288"/>
      <c r="T1962" s="217"/>
      <c r="U1962" s="288"/>
      <c r="V1962" s="288"/>
      <c r="W1962" s="203"/>
      <c r="X1962" s="203"/>
    </row>
    <row r="1963" spans="1:24" ht="25.5" x14ac:dyDescent="0.2">
      <c r="A1963" s="741" t="s">
        <v>1957</v>
      </c>
      <c r="B1963" s="388" t="s">
        <v>204</v>
      </c>
      <c r="C1963" s="389" t="s">
        <v>608</v>
      </c>
      <c r="D1963" s="389" t="s">
        <v>613</v>
      </c>
      <c r="E1963" s="390">
        <v>8531600000</v>
      </c>
      <c r="F1963" s="390"/>
      <c r="G1963" s="391">
        <f>G1964</f>
        <v>500</v>
      </c>
      <c r="H1963" s="391">
        <f t="shared" ref="H1963:L1964" si="635">H1964</f>
        <v>0</v>
      </c>
      <c r="I1963" s="391">
        <f t="shared" si="635"/>
        <v>500</v>
      </c>
      <c r="J1963" s="391">
        <f t="shared" si="635"/>
        <v>0</v>
      </c>
      <c r="K1963" s="391">
        <f t="shared" si="635"/>
        <v>0</v>
      </c>
      <c r="L1963" s="391">
        <f t="shared" si="635"/>
        <v>0</v>
      </c>
      <c r="M1963" s="217"/>
      <c r="N1963" s="172"/>
      <c r="R1963" s="288"/>
      <c r="S1963" s="288"/>
      <c r="T1963" s="217"/>
      <c r="U1963" s="288"/>
      <c r="V1963" s="288"/>
      <c r="W1963" s="203"/>
      <c r="X1963" s="203"/>
    </row>
    <row r="1964" spans="1:24" ht="15" x14ac:dyDescent="0.2">
      <c r="A1964" s="741" t="s">
        <v>294</v>
      </c>
      <c r="B1964" s="388" t="s">
        <v>204</v>
      </c>
      <c r="C1964" s="389" t="s">
        <v>608</v>
      </c>
      <c r="D1964" s="389" t="s">
        <v>613</v>
      </c>
      <c r="E1964" s="515" t="s">
        <v>1959</v>
      </c>
      <c r="F1964" s="390"/>
      <c r="G1964" s="391">
        <f>G1965</f>
        <v>500</v>
      </c>
      <c r="H1964" s="391">
        <f t="shared" si="635"/>
        <v>0</v>
      </c>
      <c r="I1964" s="391">
        <f t="shared" si="635"/>
        <v>500</v>
      </c>
      <c r="J1964" s="391">
        <f t="shared" si="635"/>
        <v>0</v>
      </c>
      <c r="K1964" s="391">
        <f t="shared" si="635"/>
        <v>0</v>
      </c>
      <c r="L1964" s="391">
        <f t="shared" si="635"/>
        <v>0</v>
      </c>
      <c r="M1964" s="217"/>
      <c r="N1964" s="172"/>
      <c r="R1964" s="288"/>
      <c r="S1964" s="288"/>
      <c r="T1964" s="217"/>
      <c r="U1964" s="288"/>
      <c r="V1964" s="288"/>
      <c r="W1964" s="203"/>
      <c r="X1964" s="203"/>
    </row>
    <row r="1965" spans="1:24" ht="15" x14ac:dyDescent="0.2">
      <c r="A1965" s="744" t="s">
        <v>164</v>
      </c>
      <c r="B1965" s="243" t="s">
        <v>204</v>
      </c>
      <c r="C1965" s="353" t="s">
        <v>608</v>
      </c>
      <c r="D1965" s="353" t="s">
        <v>613</v>
      </c>
      <c r="E1965" s="386" t="s">
        <v>1959</v>
      </c>
      <c r="F1965" s="369">
        <v>540</v>
      </c>
      <c r="G1965" s="288">
        <v>500</v>
      </c>
      <c r="H1965" s="288"/>
      <c r="I1965" s="288">
        <v>500</v>
      </c>
      <c r="J1965" s="288"/>
      <c r="K1965" s="43">
        <f>I1965-G1965</f>
        <v>0</v>
      </c>
      <c r="L1965" s="43">
        <f>J1965-H1965</f>
        <v>0</v>
      </c>
      <c r="M1965" s="217"/>
      <c r="N1965" s="172"/>
      <c r="R1965" s="288"/>
      <c r="S1965" s="288"/>
      <c r="T1965" s="217"/>
      <c r="U1965" s="288"/>
      <c r="V1965" s="288"/>
      <c r="W1965" s="203"/>
      <c r="X1965" s="203"/>
    </row>
    <row r="1966" spans="1:24" ht="15" x14ac:dyDescent="0.2">
      <c r="A1966" s="741" t="s">
        <v>1689</v>
      </c>
      <c r="B1966" s="388" t="s">
        <v>204</v>
      </c>
      <c r="C1966" s="389" t="s">
        <v>608</v>
      </c>
      <c r="D1966" s="389" t="s">
        <v>613</v>
      </c>
      <c r="E1966" s="515" t="s">
        <v>1684</v>
      </c>
      <c r="F1966" s="390"/>
      <c r="G1966" s="391">
        <f t="shared" ref="G1966:J1968" si="636">G1967</f>
        <v>52061.631999999998</v>
      </c>
      <c r="H1966" s="391">
        <f t="shared" si="636"/>
        <v>50000</v>
      </c>
      <c r="I1966" s="391">
        <f t="shared" si="636"/>
        <v>52061.631999999998</v>
      </c>
      <c r="J1966" s="391">
        <f t="shared" si="636"/>
        <v>50000</v>
      </c>
      <c r="K1966" s="391">
        <f t="shared" si="623"/>
        <v>0</v>
      </c>
      <c r="L1966" s="391">
        <f t="shared" si="624"/>
        <v>0</v>
      </c>
      <c r="M1966" s="217"/>
      <c r="N1966" s="172"/>
      <c r="R1966" s="288"/>
      <c r="S1966" s="288"/>
      <c r="T1966" s="217"/>
      <c r="U1966" s="288"/>
      <c r="V1966" s="288"/>
      <c r="W1966" s="203"/>
      <c r="X1966" s="203"/>
    </row>
    <row r="1967" spans="1:24" ht="15" x14ac:dyDescent="0.2">
      <c r="A1967" s="741" t="s">
        <v>1687</v>
      </c>
      <c r="B1967" s="388" t="s">
        <v>204</v>
      </c>
      <c r="C1967" s="389" t="s">
        <v>608</v>
      </c>
      <c r="D1967" s="389" t="s">
        <v>613</v>
      </c>
      <c r="E1967" s="515" t="s">
        <v>1685</v>
      </c>
      <c r="F1967" s="390"/>
      <c r="G1967" s="391">
        <f t="shared" si="636"/>
        <v>52061.631999999998</v>
      </c>
      <c r="H1967" s="391">
        <f t="shared" si="636"/>
        <v>50000</v>
      </c>
      <c r="I1967" s="391">
        <f t="shared" si="636"/>
        <v>52061.631999999998</v>
      </c>
      <c r="J1967" s="391">
        <f t="shared" si="636"/>
        <v>50000</v>
      </c>
      <c r="K1967" s="391">
        <f t="shared" si="623"/>
        <v>0</v>
      </c>
      <c r="L1967" s="391">
        <f t="shared" si="624"/>
        <v>0</v>
      </c>
      <c r="M1967" s="217"/>
      <c r="N1967" s="172"/>
      <c r="R1967" s="288"/>
      <c r="S1967" s="288"/>
      <c r="T1967" s="217"/>
      <c r="U1967" s="288"/>
      <c r="V1967" s="288"/>
      <c r="W1967" s="203"/>
      <c r="X1967" s="203"/>
    </row>
    <row r="1968" spans="1:24" ht="25.5" x14ac:dyDescent="0.2">
      <c r="A1968" s="741" t="s">
        <v>1688</v>
      </c>
      <c r="B1968" s="388" t="s">
        <v>204</v>
      </c>
      <c r="C1968" s="389" t="s">
        <v>608</v>
      </c>
      <c r="D1968" s="389" t="s">
        <v>613</v>
      </c>
      <c r="E1968" s="515" t="s">
        <v>1686</v>
      </c>
      <c r="F1968" s="390"/>
      <c r="G1968" s="391">
        <f t="shared" si="636"/>
        <v>52061.631999999998</v>
      </c>
      <c r="H1968" s="391">
        <f t="shared" si="636"/>
        <v>50000</v>
      </c>
      <c r="I1968" s="391">
        <f t="shared" si="636"/>
        <v>52061.631999999998</v>
      </c>
      <c r="J1968" s="391">
        <f t="shared" si="636"/>
        <v>50000</v>
      </c>
      <c r="K1968" s="391">
        <f t="shared" si="623"/>
        <v>0</v>
      </c>
      <c r="L1968" s="391">
        <f t="shared" si="624"/>
        <v>0</v>
      </c>
      <c r="M1968" s="217"/>
      <c r="N1968" s="172"/>
      <c r="R1968" s="288"/>
      <c r="S1968" s="288"/>
      <c r="T1968" s="217"/>
      <c r="U1968" s="288"/>
      <c r="V1968" s="288"/>
      <c r="W1968" s="203"/>
      <c r="X1968" s="203"/>
    </row>
    <row r="1969" spans="1:24" ht="15" x14ac:dyDescent="0.2">
      <c r="A1969" s="744" t="s">
        <v>1697</v>
      </c>
      <c r="B1969" s="243" t="s">
        <v>204</v>
      </c>
      <c r="C1969" s="353" t="s">
        <v>608</v>
      </c>
      <c r="D1969" s="353" t="s">
        <v>613</v>
      </c>
      <c r="E1969" s="369" t="s">
        <v>1686</v>
      </c>
      <c r="F1969" s="369">
        <v>243</v>
      </c>
      <c r="G1969" s="288">
        <v>52061.631999999998</v>
      </c>
      <c r="H1969" s="288">
        <v>50000</v>
      </c>
      <c r="I1969" s="288">
        <v>52061.631999999998</v>
      </c>
      <c r="J1969" s="288">
        <v>50000</v>
      </c>
      <c r="K1969" s="43">
        <f t="shared" si="623"/>
        <v>0</v>
      </c>
      <c r="L1969" s="43">
        <f t="shared" si="624"/>
        <v>0</v>
      </c>
      <c r="M1969" s="217"/>
      <c r="N1969" s="172"/>
      <c r="R1969" s="288"/>
      <c r="S1969" s="288"/>
      <c r="T1969" s="217"/>
      <c r="U1969" s="288"/>
      <c r="V1969" s="288"/>
      <c r="W1969" s="203"/>
      <c r="X1969" s="203"/>
    </row>
    <row r="1970" spans="1:24" ht="25.5" x14ac:dyDescent="0.2">
      <c r="A1970" s="746" t="s">
        <v>1205</v>
      </c>
      <c r="B1970" s="306" t="s">
        <v>204</v>
      </c>
      <c r="C1970" s="354" t="s">
        <v>608</v>
      </c>
      <c r="D1970" s="354" t="s">
        <v>613</v>
      </c>
      <c r="E1970" s="450">
        <v>8900000000</v>
      </c>
      <c r="F1970" s="450"/>
      <c r="G1970" s="591">
        <f>G1971</f>
        <v>235409.52</v>
      </c>
      <c r="H1970" s="591">
        <f>H1971</f>
        <v>210968.79089999999</v>
      </c>
      <c r="I1970" s="591">
        <f>I1971</f>
        <v>235409.52</v>
      </c>
      <c r="J1970" s="591">
        <f>J1971</f>
        <v>210968.79089999999</v>
      </c>
      <c r="K1970" s="591">
        <f t="shared" si="623"/>
        <v>0</v>
      </c>
      <c r="L1970" s="591">
        <f t="shared" si="624"/>
        <v>0</v>
      </c>
      <c r="M1970" s="217"/>
      <c r="N1970" s="172"/>
      <c r="R1970" s="591">
        <f>R1971</f>
        <v>44357.076000000001</v>
      </c>
      <c r="S1970" s="591">
        <f>S1971</f>
        <v>42600.5</v>
      </c>
      <c r="T1970" s="217">
        <f>I1970-G1970</f>
        <v>0</v>
      </c>
      <c r="U1970" s="498">
        <f>U1971</f>
        <v>34234.050999999999</v>
      </c>
      <c r="V1970" s="498">
        <f>V1971</f>
        <v>0</v>
      </c>
      <c r="W1970" s="203">
        <f>G1970-I1970</f>
        <v>0</v>
      </c>
      <c r="X1970" s="203">
        <f>K1970+W1970</f>
        <v>0</v>
      </c>
    </row>
    <row r="1971" spans="1:24" ht="15" x14ac:dyDescent="0.2">
      <c r="A1971" s="746" t="s">
        <v>1719</v>
      </c>
      <c r="B1971" s="306" t="s">
        <v>204</v>
      </c>
      <c r="C1971" s="354" t="s">
        <v>608</v>
      </c>
      <c r="D1971" s="354" t="s">
        <v>613</v>
      </c>
      <c r="E1971" s="450">
        <v>8900600000</v>
      </c>
      <c r="F1971" s="450"/>
      <c r="G1971" s="591">
        <f t="shared" ref="G1971:L1971" si="637">G1983+G1972+G1977+G1979+G1981</f>
        <v>235409.52</v>
      </c>
      <c r="H1971" s="591">
        <f t="shared" si="637"/>
        <v>210968.79089999999</v>
      </c>
      <c r="I1971" s="591">
        <f t="shared" si="637"/>
        <v>235409.52</v>
      </c>
      <c r="J1971" s="591">
        <f t="shared" si="637"/>
        <v>210968.79089999999</v>
      </c>
      <c r="K1971" s="591">
        <f t="shared" si="637"/>
        <v>0</v>
      </c>
      <c r="L1971" s="591">
        <f t="shared" si="637"/>
        <v>0</v>
      </c>
      <c r="M1971" s="217"/>
      <c r="N1971" s="172"/>
      <c r="R1971" s="591">
        <f>R1983+R1972</f>
        <v>44357.076000000001</v>
      </c>
      <c r="S1971" s="591">
        <f>S1983+S1972</f>
        <v>42600.5</v>
      </c>
      <c r="T1971" s="217">
        <f>I1971-G1971</f>
        <v>0</v>
      </c>
      <c r="U1971" s="498">
        <f>U1983</f>
        <v>34234.050999999999</v>
      </c>
      <c r="V1971" s="498">
        <f>V1983</f>
        <v>0</v>
      </c>
      <c r="W1971" s="203">
        <f>G1971-I1971</f>
        <v>0</v>
      </c>
      <c r="X1971" s="203">
        <f>K1971+W1971</f>
        <v>0</v>
      </c>
    </row>
    <row r="1972" spans="1:24" ht="15" hidden="1" x14ac:dyDescent="0.2">
      <c r="A1972" s="626" t="s">
        <v>1718</v>
      </c>
      <c r="B1972" s="306" t="s">
        <v>204</v>
      </c>
      <c r="C1972" s="354" t="s">
        <v>608</v>
      </c>
      <c r="D1972" s="354" t="s">
        <v>613</v>
      </c>
      <c r="E1972" s="572" t="s">
        <v>1450</v>
      </c>
      <c r="F1972" s="540"/>
      <c r="G1972" s="591">
        <f>G1973+G1975+G1976+G1974</f>
        <v>0</v>
      </c>
      <c r="H1972" s="591">
        <f>H1973+H1975+H1976+H1974</f>
        <v>0</v>
      </c>
      <c r="I1972" s="591">
        <f>I1973+I1975+I1976+I1974</f>
        <v>0</v>
      </c>
      <c r="J1972" s="591">
        <f>J1973+J1975+J1976+J1974</f>
        <v>0</v>
      </c>
      <c r="K1972" s="591">
        <f t="shared" si="623"/>
        <v>0</v>
      </c>
      <c r="L1972" s="591">
        <f t="shared" si="624"/>
        <v>0</v>
      </c>
      <c r="M1972" s="217"/>
      <c r="N1972" s="172"/>
      <c r="P1972" s="167">
        <v>226087.26</v>
      </c>
      <c r="R1972" s="591">
        <f>R1973+R1975</f>
        <v>44357.076000000001</v>
      </c>
      <c r="S1972" s="591">
        <f>S1973+S1975</f>
        <v>42600.5</v>
      </c>
      <c r="T1972" s="217"/>
      <c r="U1972" s="498"/>
      <c r="V1972" s="498"/>
      <c r="W1972" s="203"/>
      <c r="X1972" s="203"/>
    </row>
    <row r="1973" spans="1:24" ht="27" hidden="1" customHeight="1" x14ac:dyDescent="0.2">
      <c r="A1973" s="186" t="s">
        <v>1697</v>
      </c>
      <c r="B1973" s="243" t="s">
        <v>204</v>
      </c>
      <c r="C1973" s="353" t="s">
        <v>608</v>
      </c>
      <c r="D1973" s="353" t="s">
        <v>613</v>
      </c>
      <c r="E1973" s="386" t="s">
        <v>1450</v>
      </c>
      <c r="F1973" s="369">
        <v>243</v>
      </c>
      <c r="G1973" s="288"/>
      <c r="H1973" s="288"/>
      <c r="I1973" s="288"/>
      <c r="J1973" s="288"/>
      <c r="K1973" s="288">
        <f t="shared" si="623"/>
        <v>0</v>
      </c>
      <c r="L1973" s="288">
        <f t="shared" si="624"/>
        <v>0</v>
      </c>
      <c r="M1973" s="217"/>
      <c r="N1973" s="172"/>
      <c r="R1973" s="288">
        <v>0</v>
      </c>
      <c r="S1973" s="288">
        <v>0</v>
      </c>
      <c r="T1973" s="217"/>
      <c r="U1973" s="498"/>
      <c r="V1973" s="498"/>
      <c r="W1973" s="203"/>
      <c r="X1973" s="203"/>
    </row>
    <row r="1974" spans="1:24" ht="16.5" hidden="1" customHeight="1" x14ac:dyDescent="0.2">
      <c r="A1974" s="186" t="s">
        <v>164</v>
      </c>
      <c r="B1974" s="243" t="s">
        <v>204</v>
      </c>
      <c r="C1974" s="353" t="s">
        <v>608</v>
      </c>
      <c r="D1974" s="353" t="s">
        <v>613</v>
      </c>
      <c r="E1974" s="386" t="s">
        <v>1450</v>
      </c>
      <c r="F1974" s="369">
        <v>540</v>
      </c>
      <c r="G1974" s="288">
        <v>0</v>
      </c>
      <c r="H1974" s="654">
        <v>0</v>
      </c>
      <c r="I1974" s="288">
        <v>0</v>
      </c>
      <c r="J1974" s="654">
        <v>0</v>
      </c>
      <c r="K1974" s="288">
        <f t="shared" si="623"/>
        <v>0</v>
      </c>
      <c r="L1974" s="288">
        <f t="shared" si="624"/>
        <v>0</v>
      </c>
      <c r="M1974" s="217">
        <v>4708.2</v>
      </c>
      <c r="N1974" s="172"/>
      <c r="R1974" s="288">
        <v>0</v>
      </c>
      <c r="S1974" s="288">
        <v>0</v>
      </c>
      <c r="T1974" s="217"/>
      <c r="U1974" s="591"/>
      <c r="V1974" s="591"/>
      <c r="W1974" s="203"/>
      <c r="X1974" s="203"/>
    </row>
    <row r="1975" spans="1:24" ht="27.75" hidden="1" customHeight="1" x14ac:dyDescent="0.2">
      <c r="A1975" s="186" t="s">
        <v>1199</v>
      </c>
      <c r="B1975" s="243" t="s">
        <v>204</v>
      </c>
      <c r="C1975" s="353" t="s">
        <v>608</v>
      </c>
      <c r="D1975" s="353" t="s">
        <v>613</v>
      </c>
      <c r="E1975" s="386" t="s">
        <v>1450</v>
      </c>
      <c r="F1975" s="369">
        <v>465</v>
      </c>
      <c r="G1975" s="288"/>
      <c r="H1975" s="654"/>
      <c r="I1975" s="288"/>
      <c r="J1975" s="654"/>
      <c r="K1975" s="288">
        <f t="shared" si="623"/>
        <v>0</v>
      </c>
      <c r="L1975" s="288">
        <f t="shared" si="624"/>
        <v>0</v>
      </c>
      <c r="M1975" s="217"/>
      <c r="N1975" s="172"/>
      <c r="R1975" s="288">
        <v>44357.076000000001</v>
      </c>
      <c r="S1975" s="288">
        <v>42600.5</v>
      </c>
      <c r="T1975" s="217"/>
      <c r="U1975" s="498"/>
      <c r="V1975" s="498"/>
      <c r="W1975" s="203"/>
      <c r="X1975" s="203"/>
    </row>
    <row r="1976" spans="1:24" ht="15.75" hidden="1" customHeight="1" x14ac:dyDescent="0.2">
      <c r="A1976" s="186" t="s">
        <v>126</v>
      </c>
      <c r="B1976" s="243" t="s">
        <v>204</v>
      </c>
      <c r="C1976" s="353" t="s">
        <v>608</v>
      </c>
      <c r="D1976" s="353" t="s">
        <v>613</v>
      </c>
      <c r="E1976" s="386" t="s">
        <v>1450</v>
      </c>
      <c r="F1976" s="369">
        <v>622</v>
      </c>
      <c r="G1976" s="288">
        <v>0</v>
      </c>
      <c r="H1976" s="654">
        <v>0</v>
      </c>
      <c r="I1976" s="288">
        <v>0</v>
      </c>
      <c r="J1976" s="654">
        <v>0</v>
      </c>
      <c r="K1976" s="288">
        <f t="shared" si="623"/>
        <v>0</v>
      </c>
      <c r="L1976" s="288">
        <f t="shared" si="624"/>
        <v>0</v>
      </c>
      <c r="M1976" s="217"/>
      <c r="N1976" s="172"/>
      <c r="R1976" s="288"/>
      <c r="S1976" s="288"/>
      <c r="T1976" s="217"/>
      <c r="U1976" s="591"/>
      <c r="V1976" s="591"/>
      <c r="W1976" s="203"/>
      <c r="X1976" s="203"/>
    </row>
    <row r="1977" spans="1:24" ht="41.25" customHeight="1" x14ac:dyDescent="0.2">
      <c r="A1977" s="741" t="s">
        <v>1960</v>
      </c>
      <c r="B1977" s="388" t="s">
        <v>204</v>
      </c>
      <c r="C1977" s="389" t="s">
        <v>608</v>
      </c>
      <c r="D1977" s="389" t="s">
        <v>613</v>
      </c>
      <c r="E1977" s="515" t="s">
        <v>1963</v>
      </c>
      <c r="F1977" s="390"/>
      <c r="G1977" s="391">
        <f t="shared" ref="G1977:L1977" si="638">G1978</f>
        <v>123174.54</v>
      </c>
      <c r="H1977" s="391">
        <f t="shared" si="638"/>
        <v>110386.27716</v>
      </c>
      <c r="I1977" s="391">
        <f t="shared" si="638"/>
        <v>123174.54</v>
      </c>
      <c r="J1977" s="391">
        <f t="shared" si="638"/>
        <v>110386.27716</v>
      </c>
      <c r="K1977" s="391">
        <f t="shared" si="638"/>
        <v>0</v>
      </c>
      <c r="L1977" s="391">
        <f t="shared" si="638"/>
        <v>0</v>
      </c>
      <c r="M1977" s="217"/>
      <c r="N1977" s="172"/>
      <c r="R1977" s="288"/>
      <c r="S1977" s="288"/>
      <c r="T1977" s="217"/>
      <c r="U1977" s="591"/>
      <c r="V1977" s="591"/>
      <c r="W1977" s="203"/>
      <c r="X1977" s="203"/>
    </row>
    <row r="1978" spans="1:24" ht="15.75" customHeight="1" x14ac:dyDescent="0.2">
      <c r="A1978" s="744" t="s">
        <v>126</v>
      </c>
      <c r="B1978" s="243" t="s">
        <v>204</v>
      </c>
      <c r="C1978" s="353" t="s">
        <v>608</v>
      </c>
      <c r="D1978" s="353" t="s">
        <v>613</v>
      </c>
      <c r="E1978" s="386" t="s">
        <v>1963</v>
      </c>
      <c r="F1978" s="369">
        <v>622</v>
      </c>
      <c r="G1978" s="288">
        <v>123174.54</v>
      </c>
      <c r="H1978" s="654">
        <v>110386.27716</v>
      </c>
      <c r="I1978" s="288">
        <v>123174.54</v>
      </c>
      <c r="J1978" s="654">
        <v>110386.27716</v>
      </c>
      <c r="K1978" s="288">
        <f>I1978-G1978</f>
        <v>0</v>
      </c>
      <c r="L1978" s="288">
        <f>J1978-H1978</f>
        <v>0</v>
      </c>
      <c r="M1978" s="217"/>
      <c r="N1978" s="172"/>
      <c r="R1978" s="288"/>
      <c r="S1978" s="288"/>
      <c r="T1978" s="217"/>
      <c r="U1978" s="591"/>
      <c r="V1978" s="591"/>
      <c r="W1978" s="203"/>
      <c r="X1978" s="203"/>
    </row>
    <row r="1979" spans="1:24" ht="39.75" customHeight="1" x14ac:dyDescent="0.2">
      <c r="A1979" s="741" t="s">
        <v>1961</v>
      </c>
      <c r="B1979" s="388" t="s">
        <v>204</v>
      </c>
      <c r="C1979" s="389" t="s">
        <v>608</v>
      </c>
      <c r="D1979" s="389" t="s">
        <v>613</v>
      </c>
      <c r="E1979" s="515" t="s">
        <v>1964</v>
      </c>
      <c r="F1979" s="390"/>
      <c r="G1979" s="391">
        <f t="shared" ref="G1979:L1979" si="639">G1980</f>
        <v>76439.710000000006</v>
      </c>
      <c r="H1979" s="391">
        <f t="shared" si="639"/>
        <v>68503.567630000005</v>
      </c>
      <c r="I1979" s="391">
        <f t="shared" si="639"/>
        <v>76439.710000000006</v>
      </c>
      <c r="J1979" s="391">
        <f t="shared" si="639"/>
        <v>68503.567630000005</v>
      </c>
      <c r="K1979" s="391">
        <f t="shared" si="639"/>
        <v>0</v>
      </c>
      <c r="L1979" s="391">
        <f t="shared" si="639"/>
        <v>0</v>
      </c>
      <c r="M1979" s="217"/>
      <c r="N1979" s="172"/>
      <c r="R1979" s="288"/>
      <c r="S1979" s="288"/>
      <c r="T1979" s="217"/>
      <c r="U1979" s="591"/>
      <c r="V1979" s="591"/>
      <c r="W1979" s="203"/>
      <c r="X1979" s="203"/>
    </row>
    <row r="1980" spans="1:24" ht="15.75" customHeight="1" x14ac:dyDescent="0.2">
      <c r="A1980" s="744" t="s">
        <v>164</v>
      </c>
      <c r="B1980" s="243" t="s">
        <v>204</v>
      </c>
      <c r="C1980" s="353" t="s">
        <v>608</v>
      </c>
      <c r="D1980" s="353" t="s">
        <v>613</v>
      </c>
      <c r="E1980" s="386" t="s">
        <v>1964</v>
      </c>
      <c r="F1980" s="369">
        <v>540</v>
      </c>
      <c r="G1980" s="288">
        <v>76439.710000000006</v>
      </c>
      <c r="H1980" s="654">
        <v>68503.567630000005</v>
      </c>
      <c r="I1980" s="288">
        <v>76439.710000000006</v>
      </c>
      <c r="J1980" s="654">
        <v>68503.567630000005</v>
      </c>
      <c r="K1980" s="288">
        <f>I1980-G1980</f>
        <v>0</v>
      </c>
      <c r="L1980" s="288">
        <f>J1980-H1980</f>
        <v>0</v>
      </c>
      <c r="M1980" s="217"/>
      <c r="N1980" s="172"/>
      <c r="R1980" s="288"/>
      <c r="S1980" s="288"/>
      <c r="T1980" s="217"/>
      <c r="U1980" s="591"/>
      <c r="V1980" s="591"/>
      <c r="W1980" s="203"/>
      <c r="X1980" s="203"/>
    </row>
    <row r="1981" spans="1:24" ht="42.75" customHeight="1" x14ac:dyDescent="0.2">
      <c r="A1981" s="741" t="s">
        <v>1962</v>
      </c>
      <c r="B1981" s="388" t="s">
        <v>204</v>
      </c>
      <c r="C1981" s="389" t="s">
        <v>608</v>
      </c>
      <c r="D1981" s="389" t="s">
        <v>613</v>
      </c>
      <c r="E1981" s="515" t="s">
        <v>1450</v>
      </c>
      <c r="F1981" s="390"/>
      <c r="G1981" s="391">
        <f t="shared" ref="G1981:L1981" si="640">G1982</f>
        <v>35795.269999999997</v>
      </c>
      <c r="H1981" s="391">
        <f t="shared" si="640"/>
        <v>32078.946110000001</v>
      </c>
      <c r="I1981" s="391">
        <f t="shared" si="640"/>
        <v>35795.269999999997</v>
      </c>
      <c r="J1981" s="391">
        <f t="shared" si="640"/>
        <v>32078.946110000001</v>
      </c>
      <c r="K1981" s="391">
        <f t="shared" si="640"/>
        <v>0</v>
      </c>
      <c r="L1981" s="391">
        <f t="shared" si="640"/>
        <v>0</v>
      </c>
      <c r="M1981" s="217"/>
      <c r="N1981" s="172"/>
      <c r="R1981" s="288"/>
      <c r="S1981" s="288"/>
      <c r="T1981" s="217"/>
      <c r="U1981" s="591"/>
      <c r="V1981" s="591"/>
      <c r="W1981" s="203"/>
      <c r="X1981" s="203"/>
    </row>
    <row r="1982" spans="1:24" ht="15.75" customHeight="1" x14ac:dyDescent="0.2">
      <c r="A1982" s="744" t="s">
        <v>126</v>
      </c>
      <c r="B1982" s="243" t="s">
        <v>204</v>
      </c>
      <c r="C1982" s="353" t="s">
        <v>608</v>
      </c>
      <c r="D1982" s="353" t="s">
        <v>613</v>
      </c>
      <c r="E1982" s="386" t="s">
        <v>1450</v>
      </c>
      <c r="F1982" s="369">
        <v>622</v>
      </c>
      <c r="G1982" s="288">
        <v>35795.269999999997</v>
      </c>
      <c r="H1982" s="654">
        <v>32078.946110000001</v>
      </c>
      <c r="I1982" s="288">
        <v>35795.269999999997</v>
      </c>
      <c r="J1982" s="654">
        <v>32078.946110000001</v>
      </c>
      <c r="K1982" s="288">
        <f>I1982-G1982</f>
        <v>0</v>
      </c>
      <c r="L1982" s="288">
        <f>J1982-H1982</f>
        <v>0</v>
      </c>
      <c r="M1982" s="217"/>
      <c r="N1982" s="172"/>
      <c r="R1982" s="288"/>
      <c r="S1982" s="288"/>
      <c r="T1982" s="217"/>
      <c r="U1982" s="591"/>
      <c r="V1982" s="591"/>
      <c r="W1982" s="203"/>
      <c r="X1982" s="203"/>
    </row>
    <row r="1983" spans="1:24" ht="27" hidden="1" customHeight="1" x14ac:dyDescent="0.2">
      <c r="A1983" s="541" t="s">
        <v>1543</v>
      </c>
      <c r="B1983" s="306" t="s">
        <v>204</v>
      </c>
      <c r="C1983" s="354" t="s">
        <v>608</v>
      </c>
      <c r="D1983" s="354" t="s">
        <v>613</v>
      </c>
      <c r="E1983" s="506" t="s">
        <v>1407</v>
      </c>
      <c r="F1983" s="450"/>
      <c r="G1983" s="498">
        <f>G1984</f>
        <v>0</v>
      </c>
      <c r="H1983" s="498">
        <f>H1984</f>
        <v>0</v>
      </c>
      <c r="I1983" s="591">
        <f>I1984</f>
        <v>0</v>
      </c>
      <c r="J1983" s="591">
        <f>J1984</f>
        <v>0</v>
      </c>
      <c r="K1983" s="591">
        <f t="shared" si="623"/>
        <v>0</v>
      </c>
      <c r="L1983" s="591">
        <f t="shared" si="624"/>
        <v>0</v>
      </c>
      <c r="M1983" s="217">
        <f>I1983-G1983-K1983</f>
        <v>0</v>
      </c>
      <c r="N1983" s="172"/>
      <c r="R1983" s="591">
        <f>R1984</f>
        <v>0</v>
      </c>
      <c r="S1983" s="591">
        <f>S1984</f>
        <v>0</v>
      </c>
      <c r="T1983" s="217">
        <f>I1983-G1983</f>
        <v>0</v>
      </c>
      <c r="U1983" s="498">
        <f>U1984</f>
        <v>34234.050999999999</v>
      </c>
      <c r="V1983" s="498">
        <f>V1984</f>
        <v>0</v>
      </c>
      <c r="W1983" s="203">
        <f>G1983-I1983</f>
        <v>0</v>
      </c>
      <c r="X1983" s="203">
        <f>K1983+W1983</f>
        <v>0</v>
      </c>
    </row>
    <row r="1984" spans="1:24" ht="27" hidden="1" customHeight="1" x14ac:dyDescent="0.2">
      <c r="A1984" s="186" t="s">
        <v>1543</v>
      </c>
      <c r="B1984" s="243" t="s">
        <v>204</v>
      </c>
      <c r="C1984" s="353" t="s">
        <v>608</v>
      </c>
      <c r="D1984" s="353" t="s">
        <v>613</v>
      </c>
      <c r="E1984" s="386" t="s">
        <v>1407</v>
      </c>
      <c r="F1984" s="369">
        <v>465</v>
      </c>
      <c r="G1984" s="288"/>
      <c r="H1984" s="288"/>
      <c r="I1984" s="288"/>
      <c r="J1984" s="288"/>
      <c r="K1984" s="43">
        <f t="shared" si="623"/>
        <v>0</v>
      </c>
      <c r="L1984" s="43">
        <f t="shared" si="624"/>
        <v>0</v>
      </c>
      <c r="M1984" s="217">
        <f>I1984-G1984-K1984</f>
        <v>0</v>
      </c>
      <c r="N1984" s="172"/>
      <c r="R1984" s="288"/>
      <c r="S1984" s="288"/>
      <c r="T1984" s="217">
        <f>I1984-G1984</f>
        <v>0</v>
      </c>
      <c r="U1984" s="288">
        <v>34234.050999999999</v>
      </c>
      <c r="V1984" s="288"/>
      <c r="W1984" s="203">
        <f>G1984-I1984</f>
        <v>0</v>
      </c>
      <c r="X1984" s="203">
        <f>K1984+W1984</f>
        <v>0</v>
      </c>
    </row>
    <row r="1985" spans="1:24" ht="15" x14ac:dyDescent="0.2">
      <c r="A1985" s="746" t="s">
        <v>65</v>
      </c>
      <c r="B1985" s="306" t="s">
        <v>204</v>
      </c>
      <c r="C1985" s="354" t="s">
        <v>608</v>
      </c>
      <c r="D1985" s="354" t="s">
        <v>613</v>
      </c>
      <c r="E1985" s="450" t="s">
        <v>312</v>
      </c>
      <c r="F1985" s="450"/>
      <c r="G1985" s="591">
        <f>G2014+G2017+G2000+G2010+G2008+G1996+G1988+G2012+G1998+G1991+G1994+G2004+G1986</f>
        <v>3146.7429999999999</v>
      </c>
      <c r="H1985" s="591">
        <f>H2014+H2017+H2000+H2010+H2008+H1996+H1988+H2012+H1998+H1991+H1994+H2004</f>
        <v>0</v>
      </c>
      <c r="I1985" s="591">
        <f>I2014+I2017+I2000+I2010+I2008+I1996+I1988+I2012+I1998+I1991+I1994+I2004+I1986</f>
        <v>5362.4669999999996</v>
      </c>
      <c r="J1985" s="591">
        <f>J2014+J2017+J2000+J2010+J2008+J1996+J1988+J2012+J1998+J1991+J1994+J2004</f>
        <v>0</v>
      </c>
      <c r="K1985" s="591">
        <f t="shared" si="623"/>
        <v>2215.7239999999997</v>
      </c>
      <c r="L1985" s="591">
        <f t="shared" si="624"/>
        <v>0</v>
      </c>
      <c r="M1985" s="217"/>
      <c r="N1985" s="170">
        <f>N2014+N2017+N2000+N2010+N2008</f>
        <v>59582.258000000002</v>
      </c>
      <c r="R1985" s="591">
        <f>R2014+R2017+R2000+R2010+R2008+R1996+R1988+R2012+R1998+R1991+R1994+R2004</f>
        <v>16518.29997</v>
      </c>
      <c r="S1985" s="591">
        <f>S2014+S2017+S2000+S2010+S2008+S1996+S1988+S2012+S1998+S1991+S1994+S2004</f>
        <v>0</v>
      </c>
      <c r="T1985" s="217">
        <f>I1985-G1985</f>
        <v>2215.7239999999997</v>
      </c>
      <c r="U1985" s="498">
        <f>U2014+U2017+U2000+U2010+U2008+U1996+U1988+U2012+U1998+U1991+U1994+U2004</f>
        <v>67392.202040000004</v>
      </c>
      <c r="V1985" s="498">
        <f>V2014+V2017+V2000+V2010+V2008+V1996+V1988+V2012+V1998+V1991+V1994+V2004</f>
        <v>0</v>
      </c>
      <c r="W1985" s="203">
        <f>G1985-I1985</f>
        <v>-2215.7239999999997</v>
      </c>
      <c r="X1985" s="203">
        <f>K1985+W1985</f>
        <v>0</v>
      </c>
    </row>
    <row r="1986" spans="1:24" ht="15" x14ac:dyDescent="0.2">
      <c r="A1986" s="746" t="s">
        <v>1885</v>
      </c>
      <c r="B1986" s="306" t="s">
        <v>204</v>
      </c>
      <c r="C1986" s="354" t="s">
        <v>608</v>
      </c>
      <c r="D1986" s="354" t="s">
        <v>613</v>
      </c>
      <c r="E1986" s="660">
        <v>9990023630</v>
      </c>
      <c r="F1986" s="660"/>
      <c r="G1986" s="591">
        <f>G1987</f>
        <v>163.24799999999999</v>
      </c>
      <c r="H1986" s="591">
        <f>H1987+H1988</f>
        <v>0</v>
      </c>
      <c r="I1986" s="591">
        <f>I1987</f>
        <v>163.24799999999999</v>
      </c>
      <c r="J1986" s="591">
        <f>J1987+J1988</f>
        <v>0</v>
      </c>
      <c r="K1986" s="591">
        <f t="shared" si="623"/>
        <v>0</v>
      </c>
      <c r="L1986" s="591">
        <f t="shared" si="624"/>
        <v>0</v>
      </c>
      <c r="M1986" s="217"/>
      <c r="N1986" s="170"/>
      <c r="R1986" s="591"/>
      <c r="S1986" s="591"/>
      <c r="T1986" s="217"/>
      <c r="U1986" s="591"/>
      <c r="V1986" s="591"/>
      <c r="W1986" s="203"/>
      <c r="X1986" s="203"/>
    </row>
    <row r="1987" spans="1:24" ht="15" x14ac:dyDescent="0.2">
      <c r="A1987" s="744" t="s">
        <v>164</v>
      </c>
      <c r="B1987" s="243" t="s">
        <v>204</v>
      </c>
      <c r="C1987" s="353" t="s">
        <v>608</v>
      </c>
      <c r="D1987" s="353" t="s">
        <v>613</v>
      </c>
      <c r="E1987" s="369">
        <v>9990023630</v>
      </c>
      <c r="F1987" s="369">
        <v>622</v>
      </c>
      <c r="G1987" s="288">
        <v>163.24799999999999</v>
      </c>
      <c r="H1987" s="288"/>
      <c r="I1987" s="288">
        <v>163.24799999999999</v>
      </c>
      <c r="J1987" s="288"/>
      <c r="K1987" s="591">
        <f t="shared" si="623"/>
        <v>0</v>
      </c>
      <c r="L1987" s="591">
        <f t="shared" si="624"/>
        <v>0</v>
      </c>
      <c r="M1987" s="217"/>
      <c r="N1987" s="170"/>
      <c r="R1987" s="591"/>
      <c r="S1987" s="591"/>
      <c r="T1987" s="217"/>
      <c r="U1987" s="591"/>
      <c r="V1987" s="591"/>
      <c r="W1987" s="203"/>
      <c r="X1987" s="203"/>
    </row>
    <row r="1988" spans="1:24" ht="15" x14ac:dyDescent="0.2">
      <c r="A1988" s="746" t="s">
        <v>1884</v>
      </c>
      <c r="B1988" s="306" t="s">
        <v>204</v>
      </c>
      <c r="C1988" s="354" t="s">
        <v>608</v>
      </c>
      <c r="D1988" s="354" t="s">
        <v>613</v>
      </c>
      <c r="E1988" s="521">
        <v>9990025520</v>
      </c>
      <c r="F1988" s="450"/>
      <c r="G1988" s="591">
        <f>G1989+G1990</f>
        <v>1372.635</v>
      </c>
      <c r="H1988" s="591">
        <f>H1989+H1990</f>
        <v>0</v>
      </c>
      <c r="I1988" s="591">
        <f>I1989+I1990</f>
        <v>1372.635</v>
      </c>
      <c r="J1988" s="591">
        <f>J1989+J1990</f>
        <v>0</v>
      </c>
      <c r="K1988" s="591">
        <f t="shared" si="623"/>
        <v>0</v>
      </c>
      <c r="L1988" s="591">
        <f t="shared" si="624"/>
        <v>0</v>
      </c>
      <c r="M1988" s="217"/>
      <c r="N1988" s="170"/>
      <c r="R1988" s="591">
        <f>R1989+R1990</f>
        <v>0</v>
      </c>
      <c r="S1988" s="591">
        <f>S1989+S1990</f>
        <v>0</v>
      </c>
      <c r="T1988" s="217">
        <f>I1988-G1988</f>
        <v>0</v>
      </c>
      <c r="U1988" s="498">
        <f>U1989+U1990</f>
        <v>9450</v>
      </c>
      <c r="V1988" s="498">
        <f>V1989+V1990</f>
        <v>0</v>
      </c>
      <c r="W1988" s="203">
        <f>G1988-I1988</f>
        <v>0</v>
      </c>
      <c r="X1988" s="203">
        <f>K1988+W1988</f>
        <v>0</v>
      </c>
    </row>
    <row r="1989" spans="1:24" ht="20.25" hidden="1" customHeight="1" x14ac:dyDescent="0.2">
      <c r="A1989" s="186" t="s">
        <v>164</v>
      </c>
      <c r="B1989" s="243" t="s">
        <v>204</v>
      </c>
      <c r="C1989" s="353" t="s">
        <v>608</v>
      </c>
      <c r="D1989" s="353" t="s">
        <v>613</v>
      </c>
      <c r="E1989" s="369">
        <v>9990025520</v>
      </c>
      <c r="F1989" s="369">
        <v>540</v>
      </c>
      <c r="G1989" s="288"/>
      <c r="H1989" s="288"/>
      <c r="I1989" s="288"/>
      <c r="J1989" s="288"/>
      <c r="K1989" s="43">
        <f t="shared" si="623"/>
        <v>0</v>
      </c>
      <c r="L1989" s="43">
        <f t="shared" si="624"/>
        <v>0</v>
      </c>
      <c r="M1989" s="217">
        <f>I1989-G1989-K1989</f>
        <v>0</v>
      </c>
      <c r="N1989" s="170"/>
      <c r="R1989" s="288"/>
      <c r="S1989" s="288"/>
      <c r="T1989" s="217">
        <f>I1989-G1989</f>
        <v>0</v>
      </c>
      <c r="U1989" s="288">
        <v>4496</v>
      </c>
      <c r="V1989" s="288"/>
      <c r="W1989" s="203">
        <f>G1989-I1989</f>
        <v>0</v>
      </c>
      <c r="X1989" s="203">
        <f>K1989+W1989</f>
        <v>0</v>
      </c>
    </row>
    <row r="1990" spans="1:24" ht="15" x14ac:dyDescent="0.2">
      <c r="A1990" s="744" t="s">
        <v>126</v>
      </c>
      <c r="B1990" s="243" t="s">
        <v>204</v>
      </c>
      <c r="C1990" s="353" t="s">
        <v>608</v>
      </c>
      <c r="D1990" s="353" t="s">
        <v>613</v>
      </c>
      <c r="E1990" s="369">
        <v>9990025520</v>
      </c>
      <c r="F1990" s="369">
        <v>622</v>
      </c>
      <c r="G1990" s="288">
        <v>1372.635</v>
      </c>
      <c r="H1990" s="288"/>
      <c r="I1990" s="288">
        <v>1372.635</v>
      </c>
      <c r="J1990" s="288"/>
      <c r="K1990" s="43">
        <f t="shared" si="623"/>
        <v>0</v>
      </c>
      <c r="L1990" s="43">
        <f t="shared" si="624"/>
        <v>0</v>
      </c>
      <c r="M1990" s="217"/>
      <c r="N1990" s="170"/>
      <c r="R1990" s="288">
        <v>0</v>
      </c>
      <c r="S1990" s="288"/>
      <c r="T1990" s="217"/>
      <c r="U1990" s="288">
        <v>4954</v>
      </c>
      <c r="V1990" s="288"/>
      <c r="W1990" s="203"/>
      <c r="X1990" s="203"/>
    </row>
    <row r="1991" spans="1:24" ht="15" hidden="1" x14ac:dyDescent="0.2">
      <c r="A1991" s="663" t="s">
        <v>49</v>
      </c>
      <c r="B1991" s="306" t="s">
        <v>204</v>
      </c>
      <c r="C1991" s="354" t="s">
        <v>608</v>
      </c>
      <c r="D1991" s="354" t="s">
        <v>613</v>
      </c>
      <c r="E1991" s="450" t="s">
        <v>879</v>
      </c>
      <c r="F1991" s="450"/>
      <c r="G1991" s="498">
        <f>G1992+G1993</f>
        <v>0</v>
      </c>
      <c r="H1991" s="498">
        <f>H1992</f>
        <v>0</v>
      </c>
      <c r="I1991" s="591">
        <f>I1992+I1993</f>
        <v>0</v>
      </c>
      <c r="J1991" s="591">
        <f>J1992</f>
        <v>0</v>
      </c>
      <c r="K1991" s="591">
        <f t="shared" si="623"/>
        <v>0</v>
      </c>
      <c r="L1991" s="591">
        <f t="shared" si="624"/>
        <v>0</v>
      </c>
      <c r="M1991" s="217">
        <f>I1991-G1991-K1991</f>
        <v>0</v>
      </c>
      <c r="N1991" s="170"/>
      <c r="R1991" s="591">
        <f>R1992+R1993</f>
        <v>2781.2397500000002</v>
      </c>
      <c r="S1991" s="591">
        <f>S1992+S1993</f>
        <v>0</v>
      </c>
      <c r="T1991" s="217"/>
      <c r="U1991" s="498">
        <f>U1992</f>
        <v>0</v>
      </c>
      <c r="V1991" s="498">
        <f>V1992</f>
        <v>0</v>
      </c>
      <c r="W1991" s="203">
        <f>G1991-I1991</f>
        <v>0</v>
      </c>
      <c r="X1991" s="203">
        <f>K1991+W1991</f>
        <v>0</v>
      </c>
    </row>
    <row r="1992" spans="1:24" ht="20.25" hidden="1" customHeight="1" x14ac:dyDescent="0.2">
      <c r="A1992" s="124" t="s">
        <v>1553</v>
      </c>
      <c r="B1992" s="243" t="s">
        <v>204</v>
      </c>
      <c r="C1992" s="353" t="s">
        <v>608</v>
      </c>
      <c r="D1992" s="353" t="s">
        <v>613</v>
      </c>
      <c r="E1992" s="369" t="s">
        <v>879</v>
      </c>
      <c r="F1992" s="369" t="s">
        <v>634</v>
      </c>
      <c r="G1992" s="288">
        <v>0</v>
      </c>
      <c r="H1992" s="288"/>
      <c r="I1992" s="288">
        <v>0</v>
      </c>
      <c r="J1992" s="288"/>
      <c r="K1992" s="43">
        <f t="shared" si="623"/>
        <v>0</v>
      </c>
      <c r="L1992" s="43">
        <f t="shared" si="624"/>
        <v>0</v>
      </c>
      <c r="M1992" s="217">
        <f>I1992-G1992-K1992</f>
        <v>0</v>
      </c>
      <c r="N1992" s="170"/>
      <c r="R1992" s="288"/>
      <c r="S1992" s="288"/>
      <c r="T1992" s="217"/>
      <c r="U1992" s="288"/>
      <c r="V1992" s="288"/>
      <c r="W1992" s="203">
        <f>G1992-I1992</f>
        <v>0</v>
      </c>
      <c r="X1992" s="203">
        <f>K1992+W1992</f>
        <v>0</v>
      </c>
    </row>
    <row r="1993" spans="1:24" ht="15" hidden="1" x14ac:dyDescent="0.2">
      <c r="A1993" s="124" t="s">
        <v>1553</v>
      </c>
      <c r="B1993" s="243" t="s">
        <v>204</v>
      </c>
      <c r="C1993" s="353" t="s">
        <v>608</v>
      </c>
      <c r="D1993" s="353" t="s">
        <v>613</v>
      </c>
      <c r="E1993" s="369" t="s">
        <v>879</v>
      </c>
      <c r="F1993" s="369">
        <v>622</v>
      </c>
      <c r="G1993" s="288"/>
      <c r="H1993" s="288"/>
      <c r="I1993" s="288"/>
      <c r="J1993" s="288"/>
      <c r="K1993" s="43">
        <f t="shared" si="623"/>
        <v>0</v>
      </c>
      <c r="L1993" s="43">
        <f t="shared" si="624"/>
        <v>0</v>
      </c>
      <c r="M1993" s="217"/>
      <c r="N1993" s="170"/>
      <c r="R1993" s="288">
        <v>2781.2397500000002</v>
      </c>
      <c r="S1993" s="288"/>
      <c r="T1993" s="217"/>
      <c r="U1993" s="288"/>
      <c r="V1993" s="288"/>
      <c r="W1993" s="203"/>
      <c r="X1993" s="203"/>
    </row>
    <row r="1994" spans="1:24" ht="20.25" customHeight="1" x14ac:dyDescent="0.2">
      <c r="A1994" s="746" t="s">
        <v>1910</v>
      </c>
      <c r="B1994" s="306" t="s">
        <v>204</v>
      </c>
      <c r="C1994" s="354" t="s">
        <v>608</v>
      </c>
      <c r="D1994" s="354" t="s">
        <v>613</v>
      </c>
      <c r="E1994" s="450">
        <v>9990082860</v>
      </c>
      <c r="F1994" s="450"/>
      <c r="G1994" s="591">
        <f>G1995</f>
        <v>240</v>
      </c>
      <c r="H1994" s="591">
        <f>H1995</f>
        <v>0</v>
      </c>
      <c r="I1994" s="591">
        <f>I1995</f>
        <v>240</v>
      </c>
      <c r="J1994" s="591">
        <f>J1995</f>
        <v>0</v>
      </c>
      <c r="K1994" s="591">
        <f t="shared" si="623"/>
        <v>0</v>
      </c>
      <c r="L1994" s="591">
        <f t="shared" si="624"/>
        <v>0</v>
      </c>
      <c r="M1994" s="217"/>
      <c r="N1994" s="170"/>
      <c r="R1994" s="591">
        <f>R1995</f>
        <v>0</v>
      </c>
      <c r="S1994" s="591">
        <f>S1995</f>
        <v>0</v>
      </c>
      <c r="T1994" s="217"/>
      <c r="U1994" s="498">
        <f>U1995</f>
        <v>0</v>
      </c>
      <c r="V1994" s="498">
        <f>V1995</f>
        <v>0</v>
      </c>
      <c r="W1994" s="203">
        <f t="shared" ref="W1994:W2002" si="641">G1994-I1994</f>
        <v>0</v>
      </c>
      <c r="X1994" s="203">
        <f t="shared" ref="X1994:X2002" si="642">K1994+W1994</f>
        <v>0</v>
      </c>
    </row>
    <row r="1995" spans="1:24" ht="21" customHeight="1" x14ac:dyDescent="0.2">
      <c r="A1995" s="744" t="s">
        <v>834</v>
      </c>
      <c r="B1995" s="243" t="s">
        <v>204</v>
      </c>
      <c r="C1995" s="353" t="s">
        <v>608</v>
      </c>
      <c r="D1995" s="353" t="s">
        <v>613</v>
      </c>
      <c r="E1995" s="369">
        <v>9990082860</v>
      </c>
      <c r="F1995" s="369">
        <v>244</v>
      </c>
      <c r="G1995" s="288">
        <v>240</v>
      </c>
      <c r="H1995" s="288"/>
      <c r="I1995" s="288">
        <v>240</v>
      </c>
      <c r="J1995" s="288"/>
      <c r="K1995" s="43">
        <f t="shared" si="623"/>
        <v>0</v>
      </c>
      <c r="L1995" s="43">
        <f t="shared" si="624"/>
        <v>0</v>
      </c>
      <c r="M1995" s="217"/>
      <c r="N1995" s="170"/>
      <c r="R1995" s="288"/>
      <c r="S1995" s="288"/>
      <c r="T1995" s="217"/>
      <c r="U1995" s="288"/>
      <c r="V1995" s="288"/>
      <c r="W1995" s="203">
        <f t="shared" si="641"/>
        <v>0</v>
      </c>
      <c r="X1995" s="203">
        <f t="shared" si="642"/>
        <v>0</v>
      </c>
    </row>
    <row r="1996" spans="1:24" ht="24.75" customHeight="1" x14ac:dyDescent="0.2">
      <c r="A1996" s="746" t="s">
        <v>1751</v>
      </c>
      <c r="B1996" s="306" t="s">
        <v>204</v>
      </c>
      <c r="C1996" s="354" t="s">
        <v>608</v>
      </c>
      <c r="D1996" s="354" t="s">
        <v>613</v>
      </c>
      <c r="E1996" s="450">
        <v>9990086030</v>
      </c>
      <c r="F1996" s="450"/>
      <c r="G1996" s="591">
        <f>G1997</f>
        <v>50</v>
      </c>
      <c r="H1996" s="591">
        <f>H1997</f>
        <v>0</v>
      </c>
      <c r="I1996" s="591">
        <f>I1997</f>
        <v>50</v>
      </c>
      <c r="J1996" s="591">
        <f>J1997</f>
        <v>0</v>
      </c>
      <c r="K1996" s="591">
        <f t="shared" si="623"/>
        <v>0</v>
      </c>
      <c r="L1996" s="591">
        <f t="shared" si="624"/>
        <v>0</v>
      </c>
      <c r="M1996" s="217"/>
      <c r="N1996" s="170"/>
      <c r="R1996" s="591">
        <f>R1997</f>
        <v>50</v>
      </c>
      <c r="S1996" s="591">
        <f>S1997</f>
        <v>0</v>
      </c>
      <c r="T1996" s="217">
        <f t="shared" ref="T1996:T2002" si="643">I1996-G1996</f>
        <v>0</v>
      </c>
      <c r="U1996" s="498">
        <f>U1997</f>
        <v>0</v>
      </c>
      <c r="V1996" s="498">
        <f>V1997</f>
        <v>0</v>
      </c>
      <c r="W1996" s="203">
        <f t="shared" si="641"/>
        <v>0</v>
      </c>
      <c r="X1996" s="203">
        <f t="shared" si="642"/>
        <v>0</v>
      </c>
    </row>
    <row r="1997" spans="1:24" ht="17.25" customHeight="1" x14ac:dyDescent="0.2">
      <c r="A1997" s="744" t="s">
        <v>126</v>
      </c>
      <c r="B1997" s="243" t="s">
        <v>204</v>
      </c>
      <c r="C1997" s="353" t="s">
        <v>608</v>
      </c>
      <c r="D1997" s="353" t="s">
        <v>613</v>
      </c>
      <c r="E1997" s="369">
        <v>9990086030</v>
      </c>
      <c r="F1997" s="369" t="s">
        <v>124</v>
      </c>
      <c r="G1997" s="288">
        <v>50</v>
      </c>
      <c r="H1997" s="288"/>
      <c r="I1997" s="288">
        <v>50</v>
      </c>
      <c r="J1997" s="288"/>
      <c r="K1997" s="43">
        <f t="shared" si="623"/>
        <v>0</v>
      </c>
      <c r="L1997" s="43">
        <f t="shared" si="624"/>
        <v>0</v>
      </c>
      <c r="M1997" s="217"/>
      <c r="N1997" s="170"/>
      <c r="R1997" s="288">
        <v>50</v>
      </c>
      <c r="S1997" s="288"/>
      <c r="T1997" s="217">
        <f t="shared" si="643"/>
        <v>0</v>
      </c>
      <c r="U1997" s="288"/>
      <c r="V1997" s="288"/>
      <c r="W1997" s="203">
        <f t="shared" si="641"/>
        <v>0</v>
      </c>
      <c r="X1997" s="203">
        <f t="shared" si="642"/>
        <v>0</v>
      </c>
    </row>
    <row r="1998" spans="1:24" ht="27.75" customHeight="1" x14ac:dyDescent="0.2">
      <c r="A1998" s="746" t="s">
        <v>1663</v>
      </c>
      <c r="B1998" s="306" t="s">
        <v>204</v>
      </c>
      <c r="C1998" s="354" t="s">
        <v>608</v>
      </c>
      <c r="D1998" s="354" t="s">
        <v>613</v>
      </c>
      <c r="E1998" s="617" t="s">
        <v>1662</v>
      </c>
      <c r="F1998" s="450"/>
      <c r="G1998" s="591">
        <f>G1999</f>
        <v>0</v>
      </c>
      <c r="H1998" s="591">
        <f>H1999</f>
        <v>0</v>
      </c>
      <c r="I1998" s="591">
        <f>I1999</f>
        <v>2775.924</v>
      </c>
      <c r="J1998" s="591">
        <f>J1999</f>
        <v>0</v>
      </c>
      <c r="K1998" s="591">
        <f t="shared" si="623"/>
        <v>2775.924</v>
      </c>
      <c r="L1998" s="591">
        <f t="shared" si="624"/>
        <v>0</v>
      </c>
      <c r="M1998" s="217"/>
      <c r="N1998" s="170"/>
      <c r="R1998" s="591">
        <f>R1999</f>
        <v>10476.99833</v>
      </c>
      <c r="S1998" s="591">
        <f>S1999</f>
        <v>0</v>
      </c>
      <c r="T1998" s="217">
        <f t="shared" si="643"/>
        <v>2775.924</v>
      </c>
      <c r="U1998" s="498">
        <f>U1999</f>
        <v>0</v>
      </c>
      <c r="V1998" s="498">
        <f>V1999</f>
        <v>0</v>
      </c>
      <c r="W1998" s="203">
        <f t="shared" si="641"/>
        <v>-2775.924</v>
      </c>
      <c r="X1998" s="203">
        <f t="shared" si="642"/>
        <v>0</v>
      </c>
    </row>
    <row r="1999" spans="1:24" ht="27.75" customHeight="1" x14ac:dyDescent="0.2">
      <c r="A1999" s="739" t="s">
        <v>1553</v>
      </c>
      <c r="B1999" s="243" t="s">
        <v>204</v>
      </c>
      <c r="C1999" s="353" t="s">
        <v>608</v>
      </c>
      <c r="D1999" s="353" t="s">
        <v>613</v>
      </c>
      <c r="E1999" s="369" t="s">
        <v>1662</v>
      </c>
      <c r="F1999" s="369">
        <v>622</v>
      </c>
      <c r="G1999" s="288"/>
      <c r="H1999" s="288"/>
      <c r="I1999" s="288">
        <v>2775.924</v>
      </c>
      <c r="J1999" s="288"/>
      <c r="K1999" s="43">
        <f t="shared" si="623"/>
        <v>2775.924</v>
      </c>
      <c r="L1999" s="43">
        <f t="shared" si="624"/>
        <v>0</v>
      </c>
      <c r="M1999" s="217"/>
      <c r="N1999" s="170"/>
      <c r="R1999" s="288">
        <v>10476.99833</v>
      </c>
      <c r="S1999" s="288">
        <v>0</v>
      </c>
      <c r="T1999" s="217">
        <f t="shared" si="643"/>
        <v>2775.924</v>
      </c>
      <c r="U1999" s="288"/>
      <c r="V1999" s="288">
        <v>0</v>
      </c>
      <c r="W1999" s="203">
        <f t="shared" si="641"/>
        <v>-2775.924</v>
      </c>
      <c r="X1999" s="203">
        <f t="shared" si="642"/>
        <v>0</v>
      </c>
    </row>
    <row r="2000" spans="1:24" ht="19.5" hidden="1" customHeight="1" x14ac:dyDescent="0.2">
      <c r="A2000" s="451" t="s">
        <v>1543</v>
      </c>
      <c r="B2000" s="306" t="s">
        <v>204</v>
      </c>
      <c r="C2000" s="354" t="s">
        <v>608</v>
      </c>
      <c r="D2000" s="354" t="s">
        <v>613</v>
      </c>
      <c r="E2000" s="450" t="s">
        <v>1101</v>
      </c>
      <c r="F2000" s="450"/>
      <c r="G2000" s="498">
        <f>G2001+G2003+G2002</f>
        <v>0</v>
      </c>
      <c r="H2000" s="498">
        <f>H2001+H2003+H2002</f>
        <v>0</v>
      </c>
      <c r="I2000" s="591">
        <f>I2001+I2003+I2002</f>
        <v>0</v>
      </c>
      <c r="J2000" s="591">
        <f>J2001+J2003+J2002</f>
        <v>0</v>
      </c>
      <c r="K2000" s="591">
        <f t="shared" si="623"/>
        <v>0</v>
      </c>
      <c r="L2000" s="591">
        <f t="shared" si="624"/>
        <v>0</v>
      </c>
      <c r="M2000" s="217">
        <f t="shared" ref="M1994:M2024" si="644">I2000-G2000-K2000</f>
        <v>0</v>
      </c>
      <c r="N2000" s="42">
        <f>N2001</f>
        <v>0</v>
      </c>
      <c r="R2000" s="591">
        <f>R2001+R2003+R2002</f>
        <v>0</v>
      </c>
      <c r="S2000" s="591">
        <f>S2001+S2003+S2002</f>
        <v>0</v>
      </c>
      <c r="T2000" s="217">
        <f t="shared" si="643"/>
        <v>0</v>
      </c>
      <c r="U2000" s="498">
        <f>U2001+U2003+U2002</f>
        <v>0</v>
      </c>
      <c r="V2000" s="498">
        <f>V2001+V2003+V2002</f>
        <v>0</v>
      </c>
      <c r="W2000" s="203">
        <f t="shared" si="641"/>
        <v>0</v>
      </c>
      <c r="X2000" s="203">
        <f t="shared" si="642"/>
        <v>0</v>
      </c>
    </row>
    <row r="2001" spans="1:24" s="183" customFormat="1" ht="15" hidden="1" x14ac:dyDescent="0.2">
      <c r="A2001" s="124" t="s">
        <v>1543</v>
      </c>
      <c r="B2001" s="243" t="s">
        <v>204</v>
      </c>
      <c r="C2001" s="353" t="s">
        <v>608</v>
      </c>
      <c r="D2001" s="353" t="s">
        <v>613</v>
      </c>
      <c r="E2001" s="369" t="s">
        <v>1101</v>
      </c>
      <c r="F2001" s="369" t="s">
        <v>44</v>
      </c>
      <c r="G2001" s="288">
        <v>0</v>
      </c>
      <c r="H2001" s="288">
        <v>0</v>
      </c>
      <c r="I2001" s="288">
        <v>0</v>
      </c>
      <c r="J2001" s="288">
        <v>0</v>
      </c>
      <c r="K2001" s="43">
        <f t="shared" si="623"/>
        <v>0</v>
      </c>
      <c r="L2001" s="43">
        <f t="shared" si="624"/>
        <v>0</v>
      </c>
      <c r="M2001" s="217">
        <f t="shared" si="644"/>
        <v>0</v>
      </c>
      <c r="N2001" s="43"/>
      <c r="R2001" s="288">
        <v>0</v>
      </c>
      <c r="S2001" s="288">
        <v>0</v>
      </c>
      <c r="T2001" s="217">
        <f t="shared" si="643"/>
        <v>0</v>
      </c>
      <c r="U2001" s="288">
        <v>0</v>
      </c>
      <c r="V2001" s="288">
        <v>0</v>
      </c>
      <c r="W2001" s="203">
        <f t="shared" si="641"/>
        <v>0</v>
      </c>
      <c r="X2001" s="203">
        <f t="shared" si="642"/>
        <v>0</v>
      </c>
    </row>
    <row r="2002" spans="1:24" s="183" customFormat="1" ht="24.75" hidden="1" customHeight="1" x14ac:dyDescent="0.2">
      <c r="A2002" s="124" t="s">
        <v>1543</v>
      </c>
      <c r="B2002" s="243" t="s">
        <v>204</v>
      </c>
      <c r="C2002" s="353" t="s">
        <v>608</v>
      </c>
      <c r="D2002" s="353" t="s">
        <v>613</v>
      </c>
      <c r="E2002" s="369" t="s">
        <v>1101</v>
      </c>
      <c r="F2002" s="369" t="s">
        <v>1200</v>
      </c>
      <c r="G2002" s="288"/>
      <c r="H2002" s="288"/>
      <c r="I2002" s="288"/>
      <c r="J2002" s="288"/>
      <c r="K2002" s="43">
        <f t="shared" si="623"/>
        <v>0</v>
      </c>
      <c r="L2002" s="43">
        <f t="shared" si="624"/>
        <v>0</v>
      </c>
      <c r="M2002" s="217">
        <f t="shared" si="644"/>
        <v>0</v>
      </c>
      <c r="N2002" s="43"/>
      <c r="R2002" s="288"/>
      <c r="S2002" s="288"/>
      <c r="T2002" s="217">
        <f t="shared" si="643"/>
        <v>0</v>
      </c>
      <c r="U2002" s="288"/>
      <c r="V2002" s="288"/>
      <c r="W2002" s="203">
        <f t="shared" si="641"/>
        <v>0</v>
      </c>
      <c r="X2002" s="203">
        <f t="shared" si="642"/>
        <v>0</v>
      </c>
    </row>
    <row r="2003" spans="1:24" s="183" customFormat="1" ht="15" hidden="1" x14ac:dyDescent="0.2">
      <c r="A2003" s="124" t="s">
        <v>1543</v>
      </c>
      <c r="B2003" s="243" t="s">
        <v>204</v>
      </c>
      <c r="C2003" s="353" t="s">
        <v>608</v>
      </c>
      <c r="D2003" s="353" t="s">
        <v>613</v>
      </c>
      <c r="E2003" s="369" t="s">
        <v>1101</v>
      </c>
      <c r="F2003" s="369" t="s">
        <v>124</v>
      </c>
      <c r="G2003" s="288">
        <v>0</v>
      </c>
      <c r="H2003" s="288">
        <v>0</v>
      </c>
      <c r="I2003" s="288">
        <v>0</v>
      </c>
      <c r="J2003" s="288">
        <v>0</v>
      </c>
      <c r="K2003" s="43">
        <f t="shared" si="623"/>
        <v>0</v>
      </c>
      <c r="L2003" s="43">
        <f t="shared" si="624"/>
        <v>0</v>
      </c>
      <c r="M2003" s="217">
        <f t="shared" si="644"/>
        <v>0</v>
      </c>
      <c r="N2003" s="43"/>
      <c r="R2003" s="288">
        <v>0</v>
      </c>
      <c r="S2003" s="288">
        <v>0</v>
      </c>
      <c r="T2003" s="217"/>
      <c r="U2003" s="288">
        <v>0</v>
      </c>
      <c r="V2003" s="288">
        <v>0</v>
      </c>
      <c r="W2003" s="203"/>
      <c r="X2003" s="203"/>
    </row>
    <row r="2004" spans="1:24" s="183" customFormat="1" ht="15" hidden="1" x14ac:dyDescent="0.2">
      <c r="A2004" s="581" t="s">
        <v>1611</v>
      </c>
      <c r="B2004" s="306" t="s">
        <v>204</v>
      </c>
      <c r="C2004" s="354" t="s">
        <v>608</v>
      </c>
      <c r="D2004" s="354" t="s">
        <v>613</v>
      </c>
      <c r="E2004" s="572" t="s">
        <v>1065</v>
      </c>
      <c r="F2004" s="450"/>
      <c r="G2004" s="498">
        <f>SUM(G2005:G2007)</f>
        <v>0</v>
      </c>
      <c r="H2004" s="498">
        <f>SUM(H2005:H2007)</f>
        <v>0</v>
      </c>
      <c r="I2004" s="591">
        <f>SUM(I2005:I2007)</f>
        <v>0</v>
      </c>
      <c r="J2004" s="591">
        <f>SUM(J2005:J2007)</f>
        <v>0</v>
      </c>
      <c r="K2004" s="591">
        <f t="shared" si="623"/>
        <v>0</v>
      </c>
      <c r="L2004" s="591">
        <f t="shared" si="624"/>
        <v>0</v>
      </c>
      <c r="M2004" s="217">
        <f t="shared" si="644"/>
        <v>0</v>
      </c>
      <c r="N2004" s="42">
        <f>N2006</f>
        <v>0</v>
      </c>
      <c r="R2004" s="591">
        <f>SUM(R2005:R2007)</f>
        <v>0</v>
      </c>
      <c r="S2004" s="591">
        <f>SUM(S2005:S2007)</f>
        <v>0</v>
      </c>
      <c r="T2004" s="217">
        <f t="shared" ref="T2004:T2019" si="645">I2004-G2004</f>
        <v>0</v>
      </c>
      <c r="U2004" s="498">
        <f>SUM(U2005:U2007)</f>
        <v>46939.64</v>
      </c>
      <c r="V2004" s="498">
        <f>SUM(V2005:V2007)</f>
        <v>0</v>
      </c>
      <c r="W2004" s="203">
        <f t="shared" ref="W2004:W2037" si="646">G2004-I2004</f>
        <v>0</v>
      </c>
      <c r="X2004" s="203">
        <f t="shared" ref="X2004:X2037" si="647">K2004+W2004</f>
        <v>0</v>
      </c>
    </row>
    <row r="2005" spans="1:24" s="183" customFormat="1" ht="15" hidden="1" x14ac:dyDescent="0.2">
      <c r="A2005" s="124" t="s">
        <v>1558</v>
      </c>
      <c r="B2005" s="243" t="s">
        <v>204</v>
      </c>
      <c r="C2005" s="353" t="s">
        <v>608</v>
      </c>
      <c r="D2005" s="353" t="s">
        <v>613</v>
      </c>
      <c r="E2005" s="369" t="s">
        <v>1065</v>
      </c>
      <c r="F2005" s="369">
        <v>244</v>
      </c>
      <c r="G2005" s="288">
        <v>0</v>
      </c>
      <c r="H2005" s="288"/>
      <c r="I2005" s="288">
        <v>0</v>
      </c>
      <c r="J2005" s="288"/>
      <c r="K2005" s="43">
        <f t="shared" si="623"/>
        <v>0</v>
      </c>
      <c r="L2005" s="43">
        <f t="shared" si="624"/>
        <v>0</v>
      </c>
      <c r="M2005" s="217">
        <f t="shared" si="644"/>
        <v>0</v>
      </c>
      <c r="N2005" s="42"/>
      <c r="R2005" s="288">
        <v>0</v>
      </c>
      <c r="S2005" s="288"/>
      <c r="T2005" s="217"/>
      <c r="U2005" s="288">
        <v>7142.9</v>
      </c>
      <c r="V2005" s="288">
        <v>0</v>
      </c>
      <c r="W2005" s="203"/>
      <c r="X2005" s="203"/>
    </row>
    <row r="2006" spans="1:24" s="183" customFormat="1" ht="26.25" hidden="1" customHeight="1" x14ac:dyDescent="0.2">
      <c r="A2006" s="186" t="s">
        <v>1543</v>
      </c>
      <c r="B2006" s="243" t="s">
        <v>204</v>
      </c>
      <c r="C2006" s="353" t="s">
        <v>608</v>
      </c>
      <c r="D2006" s="353" t="s">
        <v>613</v>
      </c>
      <c r="E2006" s="386" t="s">
        <v>1065</v>
      </c>
      <c r="F2006" s="369">
        <v>465</v>
      </c>
      <c r="G2006" s="288"/>
      <c r="H2006" s="288"/>
      <c r="I2006" s="288"/>
      <c r="J2006" s="288"/>
      <c r="K2006" s="43">
        <f t="shared" si="623"/>
        <v>0</v>
      </c>
      <c r="L2006" s="43">
        <f t="shared" si="624"/>
        <v>0</v>
      </c>
      <c r="M2006" s="217">
        <f t="shared" si="644"/>
        <v>0</v>
      </c>
      <c r="N2006" s="43">
        <v>0</v>
      </c>
      <c r="R2006" s="288"/>
      <c r="S2006" s="288"/>
      <c r="T2006" s="217">
        <f t="shared" si="645"/>
        <v>0</v>
      </c>
      <c r="U2006" s="288"/>
      <c r="V2006" s="288">
        <v>0</v>
      </c>
      <c r="W2006" s="203">
        <f t="shared" si="646"/>
        <v>0</v>
      </c>
      <c r="X2006" s="203">
        <f t="shared" si="647"/>
        <v>0</v>
      </c>
    </row>
    <row r="2007" spans="1:24" s="183" customFormat="1" ht="15" hidden="1" x14ac:dyDescent="0.2">
      <c r="A2007" s="124" t="s">
        <v>1543</v>
      </c>
      <c r="B2007" s="243" t="s">
        <v>204</v>
      </c>
      <c r="C2007" s="353" t="s">
        <v>608</v>
      </c>
      <c r="D2007" s="353" t="s">
        <v>613</v>
      </c>
      <c r="E2007" s="369" t="s">
        <v>1065</v>
      </c>
      <c r="F2007" s="369">
        <v>622</v>
      </c>
      <c r="G2007" s="288"/>
      <c r="H2007" s="288"/>
      <c r="I2007" s="288"/>
      <c r="J2007" s="288"/>
      <c r="K2007" s="43">
        <f t="shared" si="623"/>
        <v>0</v>
      </c>
      <c r="L2007" s="43">
        <f t="shared" si="624"/>
        <v>0</v>
      </c>
      <c r="M2007" s="217">
        <f t="shared" si="644"/>
        <v>0</v>
      </c>
      <c r="N2007" s="43"/>
      <c r="R2007" s="288"/>
      <c r="S2007" s="288"/>
      <c r="T2007" s="217"/>
      <c r="U2007" s="288">
        <v>39796.74</v>
      </c>
      <c r="V2007" s="288">
        <v>0</v>
      </c>
      <c r="W2007" s="203"/>
      <c r="X2007" s="203"/>
    </row>
    <row r="2008" spans="1:24" s="183" customFormat="1" ht="15" hidden="1" x14ac:dyDescent="0.2">
      <c r="A2008" s="451" t="s">
        <v>1543</v>
      </c>
      <c r="B2008" s="306" t="s">
        <v>204</v>
      </c>
      <c r="C2008" s="354" t="s">
        <v>608</v>
      </c>
      <c r="D2008" s="354" t="s">
        <v>613</v>
      </c>
      <c r="E2008" s="450" t="s">
        <v>587</v>
      </c>
      <c r="F2008" s="450"/>
      <c r="G2008" s="498">
        <f>G2009</f>
        <v>0</v>
      </c>
      <c r="H2008" s="498">
        <f>H2009</f>
        <v>0</v>
      </c>
      <c r="I2008" s="591">
        <f>I2009</f>
        <v>0</v>
      </c>
      <c r="J2008" s="591">
        <f>J2009</f>
        <v>0</v>
      </c>
      <c r="K2008" s="591">
        <f t="shared" si="623"/>
        <v>0</v>
      </c>
      <c r="L2008" s="591">
        <f t="shared" si="624"/>
        <v>0</v>
      </c>
      <c r="M2008" s="217">
        <f t="shared" si="644"/>
        <v>0</v>
      </c>
      <c r="N2008" s="42">
        <f>N2009</f>
        <v>0</v>
      </c>
      <c r="R2008" s="591">
        <f>R2009</f>
        <v>0</v>
      </c>
      <c r="S2008" s="591">
        <f>S2009</f>
        <v>0</v>
      </c>
      <c r="T2008" s="217">
        <f t="shared" si="645"/>
        <v>0</v>
      </c>
      <c r="U2008" s="498">
        <f>U2009</f>
        <v>0</v>
      </c>
      <c r="V2008" s="498">
        <f>V2009</f>
        <v>0</v>
      </c>
      <c r="W2008" s="203">
        <f t="shared" si="646"/>
        <v>0</v>
      </c>
      <c r="X2008" s="203">
        <f t="shared" si="647"/>
        <v>0</v>
      </c>
    </row>
    <row r="2009" spans="1:24" s="183" customFormat="1" ht="15" hidden="1" x14ac:dyDescent="0.2">
      <c r="A2009" s="124" t="s">
        <v>1543</v>
      </c>
      <c r="B2009" s="243" t="s">
        <v>204</v>
      </c>
      <c r="C2009" s="353" t="s">
        <v>608</v>
      </c>
      <c r="D2009" s="353" t="s">
        <v>613</v>
      </c>
      <c r="E2009" s="369" t="s">
        <v>587</v>
      </c>
      <c r="F2009" s="369" t="s">
        <v>44</v>
      </c>
      <c r="G2009" s="288">
        <v>0</v>
      </c>
      <c r="H2009" s="288"/>
      <c r="I2009" s="288">
        <v>0</v>
      </c>
      <c r="J2009" s="288"/>
      <c r="K2009" s="43">
        <f t="shared" si="623"/>
        <v>0</v>
      </c>
      <c r="L2009" s="43">
        <f t="shared" si="624"/>
        <v>0</v>
      </c>
      <c r="M2009" s="217">
        <f t="shared" si="644"/>
        <v>0</v>
      </c>
      <c r="N2009" s="43">
        <v>0</v>
      </c>
      <c r="R2009" s="288">
        <v>0</v>
      </c>
      <c r="S2009" s="288"/>
      <c r="T2009" s="217">
        <f t="shared" si="645"/>
        <v>0</v>
      </c>
      <c r="U2009" s="288">
        <v>0</v>
      </c>
      <c r="V2009" s="288"/>
      <c r="W2009" s="203">
        <f t="shared" si="646"/>
        <v>0</v>
      </c>
      <c r="X2009" s="203">
        <f t="shared" si="647"/>
        <v>0</v>
      </c>
    </row>
    <row r="2010" spans="1:24" s="183" customFormat="1" ht="15" hidden="1" x14ac:dyDescent="0.2">
      <c r="A2010" s="451" t="s">
        <v>1543</v>
      </c>
      <c r="B2010" s="306" t="s">
        <v>204</v>
      </c>
      <c r="C2010" s="354" t="s">
        <v>608</v>
      </c>
      <c r="D2010" s="354" t="s">
        <v>613</v>
      </c>
      <c r="E2010" s="450" t="s">
        <v>588</v>
      </c>
      <c r="F2010" s="450"/>
      <c r="G2010" s="498">
        <f>G2011</f>
        <v>0</v>
      </c>
      <c r="H2010" s="498">
        <f>H2011</f>
        <v>0</v>
      </c>
      <c r="I2010" s="591">
        <f>I2011</f>
        <v>0</v>
      </c>
      <c r="J2010" s="591">
        <f>J2011</f>
        <v>0</v>
      </c>
      <c r="K2010" s="591">
        <f t="shared" si="623"/>
        <v>0</v>
      </c>
      <c r="L2010" s="591">
        <f t="shared" si="624"/>
        <v>0</v>
      </c>
      <c r="M2010" s="217">
        <f t="shared" si="644"/>
        <v>0</v>
      </c>
      <c r="N2010" s="42">
        <f>N2011</f>
        <v>4754.0640000000003</v>
      </c>
      <c r="R2010" s="591">
        <f>R2011</f>
        <v>0</v>
      </c>
      <c r="S2010" s="591">
        <f>S2011</f>
        <v>0</v>
      </c>
      <c r="T2010" s="217">
        <f t="shared" si="645"/>
        <v>0</v>
      </c>
      <c r="U2010" s="498">
        <f>U2011</f>
        <v>0</v>
      </c>
      <c r="V2010" s="498">
        <f>V2011</f>
        <v>0</v>
      </c>
      <c r="W2010" s="203">
        <f t="shared" si="646"/>
        <v>0</v>
      </c>
      <c r="X2010" s="203">
        <f t="shared" si="647"/>
        <v>0</v>
      </c>
    </row>
    <row r="2011" spans="1:24" s="183" customFormat="1" ht="15" hidden="1" x14ac:dyDescent="0.2">
      <c r="A2011" s="124" t="s">
        <v>1543</v>
      </c>
      <c r="B2011" s="243" t="s">
        <v>204</v>
      </c>
      <c r="C2011" s="353" t="s">
        <v>608</v>
      </c>
      <c r="D2011" s="353" t="s">
        <v>613</v>
      </c>
      <c r="E2011" s="369" t="s">
        <v>588</v>
      </c>
      <c r="F2011" s="369" t="s">
        <v>44</v>
      </c>
      <c r="G2011" s="288"/>
      <c r="H2011" s="288"/>
      <c r="I2011" s="288"/>
      <c r="J2011" s="288"/>
      <c r="K2011" s="43">
        <f t="shared" si="623"/>
        <v>0</v>
      </c>
      <c r="L2011" s="43">
        <f t="shared" si="624"/>
        <v>0</v>
      </c>
      <c r="M2011" s="217">
        <f t="shared" si="644"/>
        <v>0</v>
      </c>
      <c r="N2011" s="43">
        <f>718.964+2635.1+1400</f>
        <v>4754.0640000000003</v>
      </c>
      <c r="R2011" s="288"/>
      <c r="S2011" s="288"/>
      <c r="T2011" s="217">
        <f t="shared" si="645"/>
        <v>0</v>
      </c>
      <c r="U2011" s="288"/>
      <c r="V2011" s="288"/>
      <c r="W2011" s="203">
        <f t="shared" si="646"/>
        <v>0</v>
      </c>
      <c r="X2011" s="203">
        <f t="shared" si="647"/>
        <v>0</v>
      </c>
    </row>
    <row r="2012" spans="1:24" s="183" customFormat="1" ht="15" hidden="1" x14ac:dyDescent="0.2">
      <c r="A2012" s="451" t="s">
        <v>1543</v>
      </c>
      <c r="B2012" s="306" t="s">
        <v>204</v>
      </c>
      <c r="C2012" s="354" t="s">
        <v>608</v>
      </c>
      <c r="D2012" s="354" t="s">
        <v>613</v>
      </c>
      <c r="E2012" s="450" t="s">
        <v>588</v>
      </c>
      <c r="F2012" s="450"/>
      <c r="G2012" s="498">
        <f>G2013</f>
        <v>0</v>
      </c>
      <c r="H2012" s="498">
        <f>H2013</f>
        <v>0</v>
      </c>
      <c r="I2012" s="591">
        <f>I2013</f>
        <v>0</v>
      </c>
      <c r="J2012" s="591">
        <f>J2013</f>
        <v>0</v>
      </c>
      <c r="K2012" s="591">
        <f t="shared" si="623"/>
        <v>0</v>
      </c>
      <c r="L2012" s="591">
        <f t="shared" si="624"/>
        <v>0</v>
      </c>
      <c r="M2012" s="217">
        <f t="shared" si="644"/>
        <v>0</v>
      </c>
      <c r="N2012" s="43"/>
      <c r="P2012" s="304"/>
      <c r="Q2012" s="304"/>
      <c r="R2012" s="591">
        <f>R2013</f>
        <v>0</v>
      </c>
      <c r="S2012" s="591">
        <f>S2013</f>
        <v>0</v>
      </c>
      <c r="T2012" s="217">
        <f t="shared" si="645"/>
        <v>0</v>
      </c>
      <c r="U2012" s="498">
        <f>U2013</f>
        <v>0</v>
      </c>
      <c r="V2012" s="498">
        <f>V2013</f>
        <v>0</v>
      </c>
      <c r="W2012" s="203">
        <f t="shared" si="646"/>
        <v>0</v>
      </c>
      <c r="X2012" s="203">
        <f t="shared" si="647"/>
        <v>0</v>
      </c>
    </row>
    <row r="2013" spans="1:24" s="183" customFormat="1" ht="15" hidden="1" x14ac:dyDescent="0.2">
      <c r="A2013" s="124" t="s">
        <v>1543</v>
      </c>
      <c r="B2013" s="243" t="s">
        <v>204</v>
      </c>
      <c r="C2013" s="353" t="s">
        <v>608</v>
      </c>
      <c r="D2013" s="353" t="s">
        <v>613</v>
      </c>
      <c r="E2013" s="369" t="s">
        <v>588</v>
      </c>
      <c r="F2013" s="369" t="s">
        <v>44</v>
      </c>
      <c r="G2013" s="288">
        <v>0</v>
      </c>
      <c r="H2013" s="288"/>
      <c r="I2013" s="288">
        <v>0</v>
      </c>
      <c r="J2013" s="288"/>
      <c r="K2013" s="43">
        <f t="shared" si="623"/>
        <v>0</v>
      </c>
      <c r="L2013" s="43">
        <f t="shared" si="624"/>
        <v>0</v>
      </c>
      <c r="M2013" s="217">
        <f t="shared" si="644"/>
        <v>0</v>
      </c>
      <c r="N2013" s="43"/>
      <c r="P2013" s="304"/>
      <c r="Q2013" s="304"/>
      <c r="R2013" s="288">
        <v>0</v>
      </c>
      <c r="S2013" s="288"/>
      <c r="T2013" s="217">
        <f t="shared" si="645"/>
        <v>0</v>
      </c>
      <c r="U2013" s="288">
        <v>0</v>
      </c>
      <c r="V2013" s="288"/>
      <c r="W2013" s="203">
        <f t="shared" si="646"/>
        <v>0</v>
      </c>
      <c r="X2013" s="203">
        <f t="shared" si="647"/>
        <v>0</v>
      </c>
    </row>
    <row r="2014" spans="1:24" s="176" customFormat="1" ht="24.75" hidden="1" customHeight="1" x14ac:dyDescent="0.2">
      <c r="A2014" s="451" t="s">
        <v>1543</v>
      </c>
      <c r="B2014" s="306" t="s">
        <v>204</v>
      </c>
      <c r="C2014" s="354" t="s">
        <v>608</v>
      </c>
      <c r="D2014" s="354" t="s">
        <v>613</v>
      </c>
      <c r="E2014" s="450" t="s">
        <v>1065</v>
      </c>
      <c r="F2014" s="450"/>
      <c r="G2014" s="498">
        <f>G2015+G2016</f>
        <v>0</v>
      </c>
      <c r="H2014" s="498">
        <f>H2015+H2016</f>
        <v>0</v>
      </c>
      <c r="I2014" s="591">
        <f>I2015+I2016</f>
        <v>0</v>
      </c>
      <c r="J2014" s="591">
        <f>J2015+J2016</f>
        <v>0</v>
      </c>
      <c r="K2014" s="591">
        <f t="shared" si="623"/>
        <v>0</v>
      </c>
      <c r="L2014" s="591">
        <f t="shared" si="624"/>
        <v>0</v>
      </c>
      <c r="M2014" s="217">
        <f t="shared" si="644"/>
        <v>0</v>
      </c>
      <c r="N2014" s="178">
        <f>N2016</f>
        <v>46200</v>
      </c>
      <c r="P2014" s="302"/>
      <c r="Q2014" s="302"/>
      <c r="R2014" s="591">
        <f>R2015+R2016</f>
        <v>0</v>
      </c>
      <c r="S2014" s="591">
        <f>S2015+S2016</f>
        <v>0</v>
      </c>
      <c r="T2014" s="217">
        <f t="shared" si="645"/>
        <v>0</v>
      </c>
      <c r="U2014" s="498">
        <f>U2015+U2016</f>
        <v>0</v>
      </c>
      <c r="V2014" s="498">
        <f>V2015+V2016</f>
        <v>0</v>
      </c>
      <c r="W2014" s="203">
        <f t="shared" si="646"/>
        <v>0</v>
      </c>
      <c r="X2014" s="203">
        <f t="shared" si="647"/>
        <v>0</v>
      </c>
    </row>
    <row r="2015" spans="1:24" s="176" customFormat="1" ht="24.75" hidden="1" customHeight="1" x14ac:dyDescent="0.2">
      <c r="A2015" s="124" t="s">
        <v>1543</v>
      </c>
      <c r="B2015" s="243" t="s">
        <v>204</v>
      </c>
      <c r="C2015" s="353" t="s">
        <v>608</v>
      </c>
      <c r="D2015" s="353" t="s">
        <v>613</v>
      </c>
      <c r="E2015" s="369" t="s">
        <v>1065</v>
      </c>
      <c r="F2015" s="369" t="s">
        <v>69</v>
      </c>
      <c r="G2015" s="288"/>
      <c r="H2015" s="288"/>
      <c r="I2015" s="288"/>
      <c r="J2015" s="288"/>
      <c r="K2015" s="43">
        <f t="shared" si="623"/>
        <v>0</v>
      </c>
      <c r="L2015" s="43">
        <f t="shared" si="624"/>
        <v>0</v>
      </c>
      <c r="M2015" s="217">
        <f t="shared" si="644"/>
        <v>0</v>
      </c>
      <c r="N2015" s="178"/>
      <c r="P2015" s="302"/>
      <c r="Q2015" s="302"/>
      <c r="R2015" s="288"/>
      <c r="S2015" s="288"/>
      <c r="T2015" s="217">
        <f t="shared" si="645"/>
        <v>0</v>
      </c>
      <c r="U2015" s="288"/>
      <c r="V2015" s="288"/>
      <c r="W2015" s="203">
        <f t="shared" si="646"/>
        <v>0</v>
      </c>
      <c r="X2015" s="203">
        <f t="shared" si="647"/>
        <v>0</v>
      </c>
    </row>
    <row r="2016" spans="1:24" s="176" customFormat="1" ht="15.75" hidden="1" customHeight="1" x14ac:dyDescent="0.2">
      <c r="A2016" s="124" t="s">
        <v>1543</v>
      </c>
      <c r="B2016" s="243" t="s">
        <v>204</v>
      </c>
      <c r="C2016" s="353" t="s">
        <v>608</v>
      </c>
      <c r="D2016" s="353" t="s">
        <v>613</v>
      </c>
      <c r="E2016" s="369" t="s">
        <v>1065</v>
      </c>
      <c r="F2016" s="369" t="s">
        <v>634</v>
      </c>
      <c r="G2016" s="288"/>
      <c r="H2016" s="288"/>
      <c r="I2016" s="288"/>
      <c r="J2016" s="288"/>
      <c r="K2016" s="43">
        <f t="shared" si="623"/>
        <v>0</v>
      </c>
      <c r="L2016" s="43">
        <f t="shared" si="624"/>
        <v>0</v>
      </c>
      <c r="M2016" s="217">
        <f t="shared" si="644"/>
        <v>0</v>
      </c>
      <c r="N2016" s="180">
        <f>45000+2700-2700+1200</f>
        <v>46200</v>
      </c>
      <c r="P2016" s="302"/>
      <c r="Q2016" s="302"/>
      <c r="R2016" s="288"/>
      <c r="S2016" s="288"/>
      <c r="T2016" s="217">
        <f t="shared" si="645"/>
        <v>0</v>
      </c>
      <c r="U2016" s="288"/>
      <c r="V2016" s="288"/>
      <c r="W2016" s="203">
        <f t="shared" si="646"/>
        <v>0</v>
      </c>
      <c r="X2016" s="203">
        <f t="shared" si="647"/>
        <v>0</v>
      </c>
    </row>
    <row r="2017" spans="1:24" ht="15" x14ac:dyDescent="0.2">
      <c r="A2017" s="746" t="s">
        <v>43</v>
      </c>
      <c r="B2017" s="306" t="s">
        <v>204</v>
      </c>
      <c r="C2017" s="354" t="s">
        <v>608</v>
      </c>
      <c r="D2017" s="354" t="s">
        <v>613</v>
      </c>
      <c r="E2017" s="450" t="s">
        <v>589</v>
      </c>
      <c r="F2017" s="450"/>
      <c r="G2017" s="591">
        <f>SUM(G2018:G2023)</f>
        <v>1320.86</v>
      </c>
      <c r="H2017" s="591">
        <f>SUM(H2018:H2023)</f>
        <v>0</v>
      </c>
      <c r="I2017" s="591">
        <f>SUM(I2018:I2023)</f>
        <v>760.66</v>
      </c>
      <c r="J2017" s="591">
        <f>SUM(J2018:J2023)</f>
        <v>0</v>
      </c>
      <c r="K2017" s="591">
        <f t="shared" ref="K2017:K2087" si="648">I2017-G2017</f>
        <v>-560.19999999999993</v>
      </c>
      <c r="L2017" s="591">
        <f t="shared" ref="L2017:L2087" si="649">J2017-H2017</f>
        <v>0</v>
      </c>
      <c r="M2017" s="217"/>
      <c r="N2017" s="178">
        <f>N2019</f>
        <v>8628.1939999999995</v>
      </c>
      <c r="P2017" s="299"/>
      <c r="Q2017" s="299"/>
      <c r="R2017" s="591">
        <f>SUM(R2018:R2023)</f>
        <v>3210.0618899999999</v>
      </c>
      <c r="S2017" s="591">
        <f>SUM(S2018:S2023)</f>
        <v>0</v>
      </c>
      <c r="T2017" s="217">
        <f t="shared" si="645"/>
        <v>-560.19999999999993</v>
      </c>
      <c r="U2017" s="498">
        <f>SUM(U2018:U2023)</f>
        <v>11002.562040000001</v>
      </c>
      <c r="V2017" s="498">
        <f>SUM(V2018:V2023)</f>
        <v>0</v>
      </c>
      <c r="W2017" s="203">
        <f t="shared" si="646"/>
        <v>560.19999999999993</v>
      </c>
      <c r="X2017" s="203">
        <f t="shared" si="647"/>
        <v>0</v>
      </c>
    </row>
    <row r="2018" spans="1:24" ht="27" hidden="1" customHeight="1" x14ac:dyDescent="0.2">
      <c r="A2018" s="124" t="s">
        <v>1558</v>
      </c>
      <c r="B2018" s="243" t="s">
        <v>204</v>
      </c>
      <c r="C2018" s="353" t="s">
        <v>608</v>
      </c>
      <c r="D2018" s="353" t="s">
        <v>613</v>
      </c>
      <c r="E2018" s="369" t="s">
        <v>589</v>
      </c>
      <c r="F2018" s="369" t="s">
        <v>69</v>
      </c>
      <c r="G2018" s="288"/>
      <c r="H2018" s="288"/>
      <c r="I2018" s="288"/>
      <c r="J2018" s="288"/>
      <c r="K2018" s="43">
        <f t="shared" si="648"/>
        <v>0</v>
      </c>
      <c r="L2018" s="43">
        <f t="shared" si="649"/>
        <v>0</v>
      </c>
      <c r="M2018" s="217">
        <f t="shared" si="644"/>
        <v>0</v>
      </c>
      <c r="N2018" s="178"/>
      <c r="P2018" s="299"/>
      <c r="Q2018" s="299"/>
      <c r="R2018" s="288">
        <v>0</v>
      </c>
      <c r="S2018" s="288"/>
      <c r="T2018" s="217">
        <f t="shared" si="645"/>
        <v>0</v>
      </c>
      <c r="U2018" s="288">
        <v>0</v>
      </c>
      <c r="V2018" s="288"/>
      <c r="W2018" s="203">
        <f t="shared" si="646"/>
        <v>0</v>
      </c>
      <c r="X2018" s="203">
        <f t="shared" si="647"/>
        <v>0</v>
      </c>
    </row>
    <row r="2019" spans="1:24" s="676" customFormat="1" ht="15" x14ac:dyDescent="0.2">
      <c r="A2019" s="754" t="s">
        <v>834</v>
      </c>
      <c r="B2019" s="672" t="s">
        <v>204</v>
      </c>
      <c r="C2019" s="673" t="s">
        <v>608</v>
      </c>
      <c r="D2019" s="673" t="s">
        <v>613</v>
      </c>
      <c r="E2019" s="674" t="s">
        <v>589</v>
      </c>
      <c r="F2019" s="674" t="s">
        <v>634</v>
      </c>
      <c r="G2019" s="649">
        <v>1320.86</v>
      </c>
      <c r="H2019" s="649"/>
      <c r="I2019" s="649">
        <v>760.66</v>
      </c>
      <c r="J2019" s="649"/>
      <c r="K2019" s="712">
        <f t="shared" si="648"/>
        <v>-560.19999999999993</v>
      </c>
      <c r="L2019" s="712">
        <f t="shared" si="649"/>
        <v>0</v>
      </c>
      <c r="M2019" s="675"/>
      <c r="N2019" s="180">
        <f>8447.1-500+681.094</f>
        <v>8628.1939999999995</v>
      </c>
      <c r="O2019" s="167"/>
      <c r="R2019" s="649">
        <v>3109.3920899999998</v>
      </c>
      <c r="S2019" s="649"/>
      <c r="T2019" s="675">
        <f t="shared" si="645"/>
        <v>-560.19999999999993</v>
      </c>
      <c r="U2019" s="649">
        <v>4192.3267500000002</v>
      </c>
      <c r="V2019" s="649">
        <v>0</v>
      </c>
      <c r="W2019" s="677">
        <f t="shared" si="646"/>
        <v>560.19999999999993</v>
      </c>
      <c r="X2019" s="677">
        <f t="shared" si="647"/>
        <v>0</v>
      </c>
    </row>
    <row r="2020" spans="1:24" ht="26.25" hidden="1" customHeight="1" x14ac:dyDescent="0.2">
      <c r="A2020" s="124" t="s">
        <v>1543</v>
      </c>
      <c r="B2020" s="243" t="s">
        <v>204</v>
      </c>
      <c r="C2020" s="353" t="s">
        <v>608</v>
      </c>
      <c r="D2020" s="353" t="s">
        <v>613</v>
      </c>
      <c r="E2020" s="369" t="s">
        <v>589</v>
      </c>
      <c r="F2020" s="369" t="s">
        <v>44</v>
      </c>
      <c r="G2020" s="288"/>
      <c r="H2020" s="288"/>
      <c r="I2020" s="288"/>
      <c r="J2020" s="288"/>
      <c r="K2020" s="43">
        <f t="shared" si="648"/>
        <v>0</v>
      </c>
      <c r="L2020" s="43">
        <f t="shared" si="649"/>
        <v>0</v>
      </c>
      <c r="M2020" s="217">
        <f t="shared" si="644"/>
        <v>0</v>
      </c>
      <c r="N2020" s="180"/>
      <c r="R2020" s="288"/>
      <c r="S2020" s="288"/>
      <c r="T2020" s="217"/>
      <c r="U2020" s="288">
        <v>0</v>
      </c>
      <c r="V2020" s="288"/>
      <c r="W2020" s="203">
        <f t="shared" si="646"/>
        <v>0</v>
      </c>
      <c r="X2020" s="203">
        <f t="shared" si="647"/>
        <v>0</v>
      </c>
    </row>
    <row r="2021" spans="1:24" ht="25.5" hidden="1" x14ac:dyDescent="0.2">
      <c r="A2021" s="124" t="s">
        <v>1583</v>
      </c>
      <c r="B2021" s="243" t="s">
        <v>204</v>
      </c>
      <c r="C2021" s="353" t="s">
        <v>608</v>
      </c>
      <c r="D2021" s="353" t="s">
        <v>613</v>
      </c>
      <c r="E2021" s="369" t="s">
        <v>589</v>
      </c>
      <c r="F2021" s="369" t="s">
        <v>128</v>
      </c>
      <c r="G2021" s="288"/>
      <c r="H2021" s="288"/>
      <c r="I2021" s="288"/>
      <c r="J2021" s="288"/>
      <c r="K2021" s="43">
        <f t="shared" si="648"/>
        <v>0</v>
      </c>
      <c r="L2021" s="43">
        <f t="shared" si="649"/>
        <v>0</v>
      </c>
      <c r="M2021" s="217">
        <f t="shared" si="644"/>
        <v>0</v>
      </c>
      <c r="N2021" s="180"/>
      <c r="R2021" s="288">
        <v>0</v>
      </c>
      <c r="S2021" s="288"/>
      <c r="T2021" s="217"/>
      <c r="U2021" s="288">
        <v>6515.7</v>
      </c>
      <c r="V2021" s="288">
        <v>0</v>
      </c>
      <c r="W2021" s="203">
        <f t="shared" si="646"/>
        <v>0</v>
      </c>
      <c r="X2021" s="203">
        <f t="shared" si="647"/>
        <v>0</v>
      </c>
    </row>
    <row r="2022" spans="1:24" ht="17.25" hidden="1" customHeight="1" x14ac:dyDescent="0.2">
      <c r="A2022" s="124" t="s">
        <v>1543</v>
      </c>
      <c r="B2022" s="243" t="s">
        <v>204</v>
      </c>
      <c r="C2022" s="353" t="s">
        <v>608</v>
      </c>
      <c r="D2022" s="353" t="s">
        <v>613</v>
      </c>
      <c r="E2022" s="369" t="s">
        <v>589</v>
      </c>
      <c r="F2022" s="369" t="s">
        <v>124</v>
      </c>
      <c r="G2022" s="288"/>
      <c r="H2022" s="288"/>
      <c r="I2022" s="288"/>
      <c r="J2022" s="288"/>
      <c r="K2022" s="43">
        <f t="shared" si="648"/>
        <v>0</v>
      </c>
      <c r="L2022" s="43">
        <f t="shared" si="649"/>
        <v>0</v>
      </c>
      <c r="M2022" s="217">
        <f t="shared" si="644"/>
        <v>0</v>
      </c>
      <c r="N2022" s="180"/>
      <c r="R2022" s="288">
        <v>100.6698</v>
      </c>
      <c r="S2022" s="288"/>
      <c r="T2022" s="217"/>
      <c r="U2022" s="288">
        <v>294.53528999999997</v>
      </c>
      <c r="V2022" s="288">
        <v>0</v>
      </c>
      <c r="W2022" s="203">
        <f t="shared" si="646"/>
        <v>0</v>
      </c>
      <c r="X2022" s="203">
        <f t="shared" si="647"/>
        <v>0</v>
      </c>
    </row>
    <row r="2023" spans="1:24" ht="17.25" hidden="1" customHeight="1" x14ac:dyDescent="0.2">
      <c r="A2023" s="124" t="s">
        <v>1543</v>
      </c>
      <c r="B2023" s="243" t="s">
        <v>204</v>
      </c>
      <c r="C2023" s="353" t="s">
        <v>608</v>
      </c>
      <c r="D2023" s="353" t="s">
        <v>613</v>
      </c>
      <c r="E2023" s="369" t="s">
        <v>589</v>
      </c>
      <c r="F2023" s="369" t="s">
        <v>231</v>
      </c>
      <c r="G2023" s="288"/>
      <c r="H2023" s="288"/>
      <c r="I2023" s="288"/>
      <c r="J2023" s="288"/>
      <c r="K2023" s="43">
        <f t="shared" si="648"/>
        <v>0</v>
      </c>
      <c r="L2023" s="43">
        <f t="shared" si="649"/>
        <v>0</v>
      </c>
      <c r="M2023" s="217">
        <f t="shared" si="644"/>
        <v>0</v>
      </c>
      <c r="N2023" s="180"/>
      <c r="R2023" s="288"/>
      <c r="S2023" s="288"/>
      <c r="T2023" s="217"/>
      <c r="U2023" s="288"/>
      <c r="V2023" s="288"/>
      <c r="W2023" s="203">
        <f t="shared" si="646"/>
        <v>0</v>
      </c>
      <c r="X2023" s="203">
        <f t="shared" si="647"/>
        <v>0</v>
      </c>
    </row>
    <row r="2024" spans="1:24" ht="15" x14ac:dyDescent="0.2">
      <c r="A2024" s="746" t="s">
        <v>1717</v>
      </c>
      <c r="B2024" s="306" t="s">
        <v>204</v>
      </c>
      <c r="C2024" s="354" t="s">
        <v>608</v>
      </c>
      <c r="D2024" s="354" t="s">
        <v>619</v>
      </c>
      <c r="E2024" s="450"/>
      <c r="F2024" s="450"/>
      <c r="G2024" s="591">
        <f>G2025</f>
        <v>304.5</v>
      </c>
      <c r="H2024" s="591">
        <f>H2025</f>
        <v>0</v>
      </c>
      <c r="I2024" s="591">
        <f>I2025</f>
        <v>471.5</v>
      </c>
      <c r="J2024" s="591">
        <f>J2025</f>
        <v>0</v>
      </c>
      <c r="K2024" s="591">
        <f t="shared" si="648"/>
        <v>167</v>
      </c>
      <c r="L2024" s="591">
        <f t="shared" si="649"/>
        <v>0</v>
      </c>
      <c r="M2024" s="217">
        <f t="shared" si="644"/>
        <v>0</v>
      </c>
      <c r="N2024" s="42">
        <f>N2025</f>
        <v>202</v>
      </c>
      <c r="R2024" s="591">
        <f>R2025</f>
        <v>63.2</v>
      </c>
      <c r="S2024" s="591">
        <f>S2025</f>
        <v>0</v>
      </c>
      <c r="T2024" s="217">
        <f t="shared" ref="T2024:T2035" si="650">I2024-G2024</f>
        <v>167</v>
      </c>
      <c r="U2024" s="498">
        <f>U2025</f>
        <v>548</v>
      </c>
      <c r="V2024" s="498">
        <f>V2025</f>
        <v>0</v>
      </c>
      <c r="W2024" s="203">
        <f t="shared" si="646"/>
        <v>-167</v>
      </c>
      <c r="X2024" s="203">
        <f t="shared" si="647"/>
        <v>0</v>
      </c>
    </row>
    <row r="2025" spans="1:24" ht="15" x14ac:dyDescent="0.2">
      <c r="A2025" s="746" t="s">
        <v>65</v>
      </c>
      <c r="B2025" s="306" t="s">
        <v>204</v>
      </c>
      <c r="C2025" s="354" t="s">
        <v>608</v>
      </c>
      <c r="D2025" s="354" t="s">
        <v>619</v>
      </c>
      <c r="E2025" s="450" t="s">
        <v>312</v>
      </c>
      <c r="F2025" s="450"/>
      <c r="G2025" s="591">
        <f>G2026+G2029+G2031+G2033</f>
        <v>304.5</v>
      </c>
      <c r="H2025" s="591">
        <f>H2026+H2029+H2031+H2033</f>
        <v>0</v>
      </c>
      <c r="I2025" s="591">
        <f>I2026+I2029+I2031+I2033</f>
        <v>471.5</v>
      </c>
      <c r="J2025" s="591">
        <f>J2026+J2029+J2031+J2033</f>
        <v>0</v>
      </c>
      <c r="K2025" s="591">
        <f t="shared" si="648"/>
        <v>167</v>
      </c>
      <c r="L2025" s="591">
        <f t="shared" si="649"/>
        <v>0</v>
      </c>
      <c r="M2025" s="217">
        <f t="shared" ref="M2025:M2048" si="651">I2025-G2025-K2025</f>
        <v>0</v>
      </c>
      <c r="N2025" s="170">
        <f>N2026+N2029</f>
        <v>202</v>
      </c>
      <c r="R2025" s="591">
        <f>R2026+R2029+R2031+R2033</f>
        <v>63.2</v>
      </c>
      <c r="S2025" s="591">
        <f>S2026+S2029+S2031+S2033</f>
        <v>0</v>
      </c>
      <c r="T2025" s="217">
        <f t="shared" si="650"/>
        <v>167</v>
      </c>
      <c r="U2025" s="498">
        <f>U2026+U2029+U2031+U2033</f>
        <v>548</v>
      </c>
      <c r="V2025" s="498">
        <f>V2026+V2029+V2031+V2033</f>
        <v>0</v>
      </c>
      <c r="W2025" s="203">
        <f t="shared" si="646"/>
        <v>-167</v>
      </c>
      <c r="X2025" s="203">
        <f t="shared" si="647"/>
        <v>0</v>
      </c>
    </row>
    <row r="2026" spans="1:24" ht="25.5" x14ac:dyDescent="0.2">
      <c r="A2026" s="746" t="s">
        <v>1716</v>
      </c>
      <c r="B2026" s="306" t="s">
        <v>204</v>
      </c>
      <c r="C2026" s="354" t="s">
        <v>608</v>
      </c>
      <c r="D2026" s="354" t="s">
        <v>619</v>
      </c>
      <c r="E2026" s="450" t="s">
        <v>338</v>
      </c>
      <c r="F2026" s="450"/>
      <c r="G2026" s="591">
        <f>SUM(G2027:G2028)</f>
        <v>4.5</v>
      </c>
      <c r="H2026" s="591">
        <f>SUM(H2027:H2028)</f>
        <v>0</v>
      </c>
      <c r="I2026" s="591">
        <f>SUM(I2027:I2028)</f>
        <v>4.5</v>
      </c>
      <c r="J2026" s="591">
        <f>SUM(J2027:J2028)</f>
        <v>0</v>
      </c>
      <c r="K2026" s="591">
        <f t="shared" si="648"/>
        <v>0</v>
      </c>
      <c r="L2026" s="591">
        <f t="shared" si="649"/>
        <v>0</v>
      </c>
      <c r="M2026" s="217">
        <f t="shared" si="651"/>
        <v>0</v>
      </c>
      <c r="N2026" s="170">
        <f>SUM(N2027:N2028)</f>
        <v>2</v>
      </c>
      <c r="R2026" s="591">
        <f>SUM(R2027:R2028)</f>
        <v>3.2</v>
      </c>
      <c r="S2026" s="591">
        <f>SUM(S2027:S2028)</f>
        <v>0</v>
      </c>
      <c r="T2026" s="217">
        <f t="shared" si="650"/>
        <v>0</v>
      </c>
      <c r="U2026" s="498">
        <f>SUM(U2027:U2028)</f>
        <v>3</v>
      </c>
      <c r="V2026" s="498">
        <f>SUM(V2027:V2028)</f>
        <v>0</v>
      </c>
      <c r="W2026" s="203">
        <f t="shared" si="646"/>
        <v>0</v>
      </c>
      <c r="X2026" s="203">
        <f t="shared" si="647"/>
        <v>0</v>
      </c>
    </row>
    <row r="2027" spans="1:24" ht="15" x14ac:dyDescent="0.2">
      <c r="A2027" s="744" t="s">
        <v>529</v>
      </c>
      <c r="B2027" s="243" t="s">
        <v>204</v>
      </c>
      <c r="C2027" s="353" t="s">
        <v>608</v>
      </c>
      <c r="D2027" s="353" t="s">
        <v>619</v>
      </c>
      <c r="E2027" s="369" t="s">
        <v>338</v>
      </c>
      <c r="F2027" s="369" t="s">
        <v>129</v>
      </c>
      <c r="G2027" s="288">
        <v>3.4561899999999999</v>
      </c>
      <c r="H2027" s="288"/>
      <c r="I2027" s="288">
        <v>3.4561899999999999</v>
      </c>
      <c r="J2027" s="288"/>
      <c r="K2027" s="43">
        <f t="shared" si="648"/>
        <v>0</v>
      </c>
      <c r="L2027" s="43">
        <f t="shared" si="649"/>
        <v>0</v>
      </c>
      <c r="M2027" s="217">
        <f t="shared" si="651"/>
        <v>0</v>
      </c>
      <c r="N2027" s="171">
        <v>1.5</v>
      </c>
      <c r="R2027" s="288">
        <v>2.4577599999999999</v>
      </c>
      <c r="S2027" s="288">
        <v>0</v>
      </c>
      <c r="T2027" s="217">
        <f t="shared" si="650"/>
        <v>0</v>
      </c>
      <c r="U2027" s="288">
        <v>2.3041499999999999</v>
      </c>
      <c r="V2027" s="288">
        <v>0</v>
      </c>
      <c r="W2027" s="203">
        <f t="shared" si="646"/>
        <v>0</v>
      </c>
      <c r="X2027" s="203">
        <f t="shared" si="647"/>
        <v>0</v>
      </c>
    </row>
    <row r="2028" spans="1:24" ht="25.5" x14ac:dyDescent="0.2">
      <c r="A2028" s="744" t="s">
        <v>572</v>
      </c>
      <c r="B2028" s="243" t="s">
        <v>204</v>
      </c>
      <c r="C2028" s="353" t="s">
        <v>608</v>
      </c>
      <c r="D2028" s="353" t="s">
        <v>619</v>
      </c>
      <c r="E2028" s="369" t="s">
        <v>338</v>
      </c>
      <c r="F2028" s="369" t="s">
        <v>524</v>
      </c>
      <c r="G2028" s="288">
        <v>1.0438099999999999</v>
      </c>
      <c r="H2028" s="288"/>
      <c r="I2028" s="288">
        <v>1.0438099999999999</v>
      </c>
      <c r="J2028" s="288"/>
      <c r="K2028" s="43">
        <f t="shared" si="648"/>
        <v>0</v>
      </c>
      <c r="L2028" s="43">
        <f t="shared" si="649"/>
        <v>0</v>
      </c>
      <c r="M2028" s="217">
        <f t="shared" si="651"/>
        <v>0</v>
      </c>
      <c r="N2028" s="171">
        <v>0.5</v>
      </c>
      <c r="R2028" s="288">
        <v>0.74224000000000001</v>
      </c>
      <c r="S2028" s="288">
        <v>0</v>
      </c>
      <c r="T2028" s="217">
        <f t="shared" si="650"/>
        <v>0</v>
      </c>
      <c r="U2028" s="288">
        <v>0.69584999999999997</v>
      </c>
      <c r="V2028" s="288">
        <v>0</v>
      </c>
      <c r="W2028" s="203">
        <f t="shared" si="646"/>
        <v>0</v>
      </c>
      <c r="X2028" s="203">
        <f t="shared" si="647"/>
        <v>0</v>
      </c>
    </row>
    <row r="2029" spans="1:24" ht="15" customHeight="1" x14ac:dyDescent="0.2">
      <c r="A2029" s="746" t="s">
        <v>1899</v>
      </c>
      <c r="B2029" s="306" t="s">
        <v>204</v>
      </c>
      <c r="C2029" s="354" t="s">
        <v>608</v>
      </c>
      <c r="D2029" s="354" t="s">
        <v>619</v>
      </c>
      <c r="E2029" s="450">
        <v>9990082440</v>
      </c>
      <c r="F2029" s="450"/>
      <c r="G2029" s="591">
        <f>G2030</f>
        <v>300</v>
      </c>
      <c r="H2029" s="591">
        <f>H2030</f>
        <v>0</v>
      </c>
      <c r="I2029" s="591">
        <f>I2030</f>
        <v>467</v>
      </c>
      <c r="J2029" s="591">
        <f>J2030</f>
        <v>0</v>
      </c>
      <c r="K2029" s="591">
        <f t="shared" si="648"/>
        <v>167</v>
      </c>
      <c r="L2029" s="591">
        <f t="shared" si="649"/>
        <v>0</v>
      </c>
      <c r="M2029" s="217">
        <f t="shared" si="651"/>
        <v>0</v>
      </c>
      <c r="N2029" s="170">
        <f>N2030</f>
        <v>200</v>
      </c>
      <c r="R2029" s="591">
        <f>R2030</f>
        <v>60</v>
      </c>
      <c r="S2029" s="591">
        <f>S2030</f>
        <v>0</v>
      </c>
      <c r="T2029" s="217">
        <f t="shared" si="650"/>
        <v>167</v>
      </c>
      <c r="U2029" s="498">
        <f>U2030</f>
        <v>545</v>
      </c>
      <c r="V2029" s="498">
        <f>V2030</f>
        <v>0</v>
      </c>
      <c r="W2029" s="203">
        <f t="shared" si="646"/>
        <v>-167</v>
      </c>
      <c r="X2029" s="203">
        <f t="shared" si="647"/>
        <v>0</v>
      </c>
    </row>
    <row r="2030" spans="1:24" ht="15" x14ac:dyDescent="0.2">
      <c r="A2030" s="744" t="s">
        <v>834</v>
      </c>
      <c r="B2030" s="243" t="s">
        <v>204</v>
      </c>
      <c r="C2030" s="353" t="s">
        <v>608</v>
      </c>
      <c r="D2030" s="353" t="s">
        <v>619</v>
      </c>
      <c r="E2030" s="369">
        <v>9990082440</v>
      </c>
      <c r="F2030" s="369">
        <v>244</v>
      </c>
      <c r="G2030" s="288">
        <v>300</v>
      </c>
      <c r="H2030" s="288"/>
      <c r="I2030" s="288">
        <v>467</v>
      </c>
      <c r="J2030" s="288"/>
      <c r="K2030" s="43">
        <f t="shared" si="648"/>
        <v>167</v>
      </c>
      <c r="L2030" s="43">
        <f t="shared" si="649"/>
        <v>0</v>
      </c>
      <c r="M2030" s="217">
        <f t="shared" si="651"/>
        <v>0</v>
      </c>
      <c r="N2030" s="171">
        <v>200</v>
      </c>
      <c r="R2030" s="288">
        <v>60</v>
      </c>
      <c r="S2030" s="288"/>
      <c r="T2030" s="217">
        <f t="shared" si="650"/>
        <v>167</v>
      </c>
      <c r="U2030" s="288">
        <v>545</v>
      </c>
      <c r="V2030" s="288"/>
      <c r="W2030" s="203">
        <f t="shared" si="646"/>
        <v>-167</v>
      </c>
      <c r="X2030" s="203">
        <f t="shared" si="647"/>
        <v>0</v>
      </c>
    </row>
    <row r="2031" spans="1:24" ht="30.75" hidden="1" customHeight="1" x14ac:dyDescent="0.2">
      <c r="A2031" s="451" t="s">
        <v>1543</v>
      </c>
      <c r="B2031" s="306" t="s">
        <v>204</v>
      </c>
      <c r="C2031" s="354" t="s">
        <v>608</v>
      </c>
      <c r="D2031" s="354" t="s">
        <v>619</v>
      </c>
      <c r="E2031" s="450" t="s">
        <v>831</v>
      </c>
      <c r="F2031" s="450"/>
      <c r="G2031" s="498">
        <f>G2032</f>
        <v>0</v>
      </c>
      <c r="H2031" s="498">
        <f>H2032</f>
        <v>0</v>
      </c>
      <c r="I2031" s="591">
        <f>I2032</f>
        <v>0</v>
      </c>
      <c r="J2031" s="591">
        <f>J2032</f>
        <v>0</v>
      </c>
      <c r="K2031" s="591">
        <f t="shared" si="648"/>
        <v>0</v>
      </c>
      <c r="L2031" s="591">
        <f t="shared" si="649"/>
        <v>0</v>
      </c>
      <c r="M2031" s="217">
        <f t="shared" si="651"/>
        <v>0</v>
      </c>
      <c r="N2031" s="171"/>
      <c r="R2031" s="591">
        <f>R2032</f>
        <v>0</v>
      </c>
      <c r="S2031" s="591">
        <f>S2032</f>
        <v>0</v>
      </c>
      <c r="T2031" s="217">
        <f t="shared" si="650"/>
        <v>0</v>
      </c>
      <c r="U2031" s="498">
        <f>U2032</f>
        <v>0</v>
      </c>
      <c r="V2031" s="498">
        <f>V2032</f>
        <v>0</v>
      </c>
      <c r="W2031" s="203">
        <f t="shared" si="646"/>
        <v>0</v>
      </c>
      <c r="X2031" s="203">
        <f t="shared" si="647"/>
        <v>0</v>
      </c>
    </row>
    <row r="2032" spans="1:24" ht="15" hidden="1" x14ac:dyDescent="0.2">
      <c r="A2032" s="124" t="s">
        <v>1543</v>
      </c>
      <c r="B2032" s="243" t="s">
        <v>204</v>
      </c>
      <c r="C2032" s="353" t="s">
        <v>608</v>
      </c>
      <c r="D2032" s="353" t="s">
        <v>619</v>
      </c>
      <c r="E2032" s="369" t="s">
        <v>831</v>
      </c>
      <c r="F2032" s="369" t="s">
        <v>634</v>
      </c>
      <c r="G2032" s="288"/>
      <c r="H2032" s="288"/>
      <c r="I2032" s="288"/>
      <c r="J2032" s="288"/>
      <c r="K2032" s="43">
        <f t="shared" si="648"/>
        <v>0</v>
      </c>
      <c r="L2032" s="43">
        <f t="shared" si="649"/>
        <v>0</v>
      </c>
      <c r="M2032" s="217">
        <f t="shared" si="651"/>
        <v>0</v>
      </c>
      <c r="N2032" s="171"/>
      <c r="R2032" s="288"/>
      <c r="S2032" s="288"/>
      <c r="T2032" s="217">
        <f t="shared" si="650"/>
        <v>0</v>
      </c>
      <c r="U2032" s="288"/>
      <c r="V2032" s="288"/>
      <c r="W2032" s="203">
        <f t="shared" si="646"/>
        <v>0</v>
      </c>
      <c r="X2032" s="203">
        <f t="shared" si="647"/>
        <v>0</v>
      </c>
    </row>
    <row r="2033" spans="1:24" ht="15" hidden="1" x14ac:dyDescent="0.2">
      <c r="A2033" s="451" t="s">
        <v>1543</v>
      </c>
      <c r="B2033" s="306" t="s">
        <v>204</v>
      </c>
      <c r="C2033" s="354" t="s">
        <v>608</v>
      </c>
      <c r="D2033" s="354" t="s">
        <v>619</v>
      </c>
      <c r="E2033" s="450" t="s">
        <v>832</v>
      </c>
      <c r="F2033" s="450"/>
      <c r="G2033" s="498">
        <f>G2034</f>
        <v>0</v>
      </c>
      <c r="H2033" s="498">
        <f>H2034</f>
        <v>0</v>
      </c>
      <c r="I2033" s="591">
        <f>I2034</f>
        <v>0</v>
      </c>
      <c r="J2033" s="591">
        <f>J2034</f>
        <v>0</v>
      </c>
      <c r="K2033" s="591">
        <f t="shared" si="648"/>
        <v>0</v>
      </c>
      <c r="L2033" s="591">
        <f t="shared" si="649"/>
        <v>0</v>
      </c>
      <c r="M2033" s="217">
        <f t="shared" si="651"/>
        <v>0</v>
      </c>
      <c r="N2033" s="171"/>
      <c r="R2033" s="591">
        <f>R2034</f>
        <v>0</v>
      </c>
      <c r="S2033" s="591">
        <f>S2034</f>
        <v>0</v>
      </c>
      <c r="T2033" s="217">
        <f t="shared" si="650"/>
        <v>0</v>
      </c>
      <c r="U2033" s="498">
        <f>U2034</f>
        <v>0</v>
      </c>
      <c r="V2033" s="498">
        <f>V2034</f>
        <v>0</v>
      </c>
      <c r="W2033" s="203">
        <f t="shared" si="646"/>
        <v>0</v>
      </c>
      <c r="X2033" s="203">
        <f t="shared" si="647"/>
        <v>0</v>
      </c>
    </row>
    <row r="2034" spans="1:24" ht="15" hidden="1" x14ac:dyDescent="0.2">
      <c r="A2034" s="124" t="s">
        <v>1543</v>
      </c>
      <c r="B2034" s="243" t="s">
        <v>204</v>
      </c>
      <c r="C2034" s="353" t="s">
        <v>608</v>
      </c>
      <c r="D2034" s="353" t="s">
        <v>619</v>
      </c>
      <c r="E2034" s="369" t="s">
        <v>832</v>
      </c>
      <c r="F2034" s="369" t="s">
        <v>634</v>
      </c>
      <c r="G2034" s="288"/>
      <c r="H2034" s="288"/>
      <c r="I2034" s="288"/>
      <c r="J2034" s="288"/>
      <c r="K2034" s="43">
        <f t="shared" si="648"/>
        <v>0</v>
      </c>
      <c r="L2034" s="43">
        <f t="shared" si="649"/>
        <v>0</v>
      </c>
      <c r="M2034" s="217">
        <f t="shared" si="651"/>
        <v>0</v>
      </c>
      <c r="N2034" s="171"/>
      <c r="R2034" s="288"/>
      <c r="S2034" s="288"/>
      <c r="T2034" s="217">
        <f t="shared" si="650"/>
        <v>0</v>
      </c>
      <c r="U2034" s="288"/>
      <c r="V2034" s="288"/>
      <c r="W2034" s="203">
        <f t="shared" si="646"/>
        <v>0</v>
      </c>
      <c r="X2034" s="203">
        <f t="shared" si="647"/>
        <v>0</v>
      </c>
    </row>
    <row r="2035" spans="1:24" ht="15" x14ac:dyDescent="0.2">
      <c r="A2035" s="746" t="s">
        <v>255</v>
      </c>
      <c r="B2035" s="306" t="s">
        <v>204</v>
      </c>
      <c r="C2035" s="354" t="s">
        <v>609</v>
      </c>
      <c r="D2035" s="354"/>
      <c r="E2035" s="450"/>
      <c r="F2035" s="450"/>
      <c r="G2035" s="591">
        <f>G2059+G2036+G2103</f>
        <v>79662.41</v>
      </c>
      <c r="H2035" s="591">
        <f>H2059+H2036+H2103</f>
        <v>52537.1</v>
      </c>
      <c r="I2035" s="591">
        <f>I2059+I2036+I2103</f>
        <v>155055.8003</v>
      </c>
      <c r="J2035" s="591">
        <f>J2059+J2036+J2103</f>
        <v>52537.1</v>
      </c>
      <c r="K2035" s="591">
        <f t="shared" si="648"/>
        <v>75393.390299999999</v>
      </c>
      <c r="L2035" s="591">
        <f t="shared" si="649"/>
        <v>0</v>
      </c>
      <c r="M2035" s="217">
        <f t="shared" si="651"/>
        <v>0</v>
      </c>
      <c r="N2035" s="170" t="e">
        <f>N2059</f>
        <v>#REF!</v>
      </c>
      <c r="R2035" s="591">
        <f>R2059+R2036+R2103</f>
        <v>122957.87127000002</v>
      </c>
      <c r="S2035" s="591">
        <f>S2059+S2036+S2103</f>
        <v>92234.472120000006</v>
      </c>
      <c r="T2035" s="217">
        <f t="shared" si="650"/>
        <v>75393.390299999999</v>
      </c>
      <c r="U2035" s="498">
        <f>U2059+U2036</f>
        <v>234776.91686000003</v>
      </c>
      <c r="V2035" s="498">
        <f>V2059+V2036</f>
        <v>214540.42853</v>
      </c>
      <c r="W2035" s="203">
        <f t="shared" si="646"/>
        <v>-75393.390299999999</v>
      </c>
      <c r="X2035" s="203">
        <f t="shared" si="647"/>
        <v>0</v>
      </c>
    </row>
    <row r="2036" spans="1:24" ht="15" hidden="1" x14ac:dyDescent="0.2">
      <c r="A2036" s="669" t="s">
        <v>188</v>
      </c>
      <c r="B2036" s="306" t="s">
        <v>204</v>
      </c>
      <c r="C2036" s="354" t="s">
        <v>609</v>
      </c>
      <c r="D2036" s="354" t="s">
        <v>605</v>
      </c>
      <c r="E2036" s="450"/>
      <c r="F2036" s="450"/>
      <c r="G2036" s="498">
        <f>G2037+G2056+G2052</f>
        <v>0</v>
      </c>
      <c r="H2036" s="591">
        <f>H2037+H2056+H2052</f>
        <v>0</v>
      </c>
      <c r="I2036" s="591">
        <f>I2037+I2056+I2052</f>
        <v>0</v>
      </c>
      <c r="J2036" s="591">
        <f>J2037+J2056+J2052</f>
        <v>0</v>
      </c>
      <c r="K2036" s="591">
        <f t="shared" si="648"/>
        <v>0</v>
      </c>
      <c r="L2036" s="591">
        <f t="shared" si="649"/>
        <v>0</v>
      </c>
      <c r="M2036" s="217">
        <f t="shared" si="651"/>
        <v>0</v>
      </c>
      <c r="N2036" s="170"/>
      <c r="R2036" s="591">
        <f>R2037+R2056</f>
        <v>94116.808200000014</v>
      </c>
      <c r="S2036" s="591">
        <f>S2037+S2056</f>
        <v>92234.472120000006</v>
      </c>
      <c r="T2036" s="217"/>
      <c r="U2036" s="498">
        <f>U2037+U2056</f>
        <v>218819.86786000003</v>
      </c>
      <c r="V2036" s="498">
        <f>V2037+V2056</f>
        <v>214540.42853</v>
      </c>
      <c r="W2036" s="203">
        <f t="shared" si="646"/>
        <v>0</v>
      </c>
      <c r="X2036" s="203">
        <f t="shared" si="647"/>
        <v>0</v>
      </c>
    </row>
    <row r="2037" spans="1:24" ht="25.5" hidden="1" x14ac:dyDescent="0.2">
      <c r="A2037" s="451" t="s">
        <v>1613</v>
      </c>
      <c r="B2037" s="306" t="s">
        <v>204</v>
      </c>
      <c r="C2037" s="354" t="s">
        <v>609</v>
      </c>
      <c r="D2037" s="354" t="s">
        <v>605</v>
      </c>
      <c r="E2037" s="450" t="s">
        <v>1054</v>
      </c>
      <c r="F2037" s="450"/>
      <c r="G2037" s="498">
        <f t="shared" ref="G2037:J2038" si="652">G2038</f>
        <v>0</v>
      </c>
      <c r="H2037" s="498">
        <f t="shared" si="652"/>
        <v>0</v>
      </c>
      <c r="I2037" s="591">
        <f t="shared" si="652"/>
        <v>0</v>
      </c>
      <c r="J2037" s="591">
        <f t="shared" si="652"/>
        <v>0</v>
      </c>
      <c r="K2037" s="591">
        <f t="shared" si="648"/>
        <v>0</v>
      </c>
      <c r="L2037" s="591">
        <f t="shared" si="649"/>
        <v>0</v>
      </c>
      <c r="M2037" s="217">
        <f t="shared" si="651"/>
        <v>0</v>
      </c>
      <c r="N2037" s="170"/>
      <c r="R2037" s="591">
        <f>R2038</f>
        <v>94116.808200000014</v>
      </c>
      <c r="S2037" s="591">
        <f>S2038</f>
        <v>92234.472120000006</v>
      </c>
      <c r="T2037" s="217"/>
      <c r="U2037" s="498">
        <f>U2038</f>
        <v>218772.46712000002</v>
      </c>
      <c r="V2037" s="498">
        <f>V2038</f>
        <v>214540.42853</v>
      </c>
      <c r="W2037" s="203">
        <f t="shared" si="646"/>
        <v>0</v>
      </c>
      <c r="X2037" s="203">
        <f t="shared" si="647"/>
        <v>0</v>
      </c>
    </row>
    <row r="2038" spans="1:24" ht="15" hidden="1" x14ac:dyDescent="0.2">
      <c r="A2038" s="598" t="s">
        <v>1138</v>
      </c>
      <c r="B2038" s="306" t="s">
        <v>204</v>
      </c>
      <c r="C2038" s="354" t="s">
        <v>609</v>
      </c>
      <c r="D2038" s="354" t="s">
        <v>605</v>
      </c>
      <c r="E2038" s="450" t="s">
        <v>1158</v>
      </c>
      <c r="F2038" s="450"/>
      <c r="G2038" s="498">
        <f t="shared" si="652"/>
        <v>0</v>
      </c>
      <c r="H2038" s="498">
        <f t="shared" si="652"/>
        <v>0</v>
      </c>
      <c r="I2038" s="591">
        <f t="shared" si="652"/>
        <v>0</v>
      </c>
      <c r="J2038" s="591">
        <f t="shared" si="652"/>
        <v>0</v>
      </c>
      <c r="K2038" s="591">
        <f t="shared" si="648"/>
        <v>0</v>
      </c>
      <c r="L2038" s="591">
        <f t="shared" si="649"/>
        <v>0</v>
      </c>
      <c r="M2038" s="217">
        <f t="shared" si="651"/>
        <v>0</v>
      </c>
      <c r="N2038" s="170"/>
      <c r="R2038" s="591">
        <f>R2039</f>
        <v>94116.808200000014</v>
      </c>
      <c r="S2038" s="591">
        <f>S2039</f>
        <v>92234.472120000006</v>
      </c>
      <c r="T2038" s="217"/>
      <c r="U2038" s="498">
        <f>U2039</f>
        <v>218772.46712000002</v>
      </c>
      <c r="V2038" s="498">
        <f>V2039</f>
        <v>214540.42853</v>
      </c>
      <c r="W2038" s="203"/>
      <c r="X2038" s="203"/>
    </row>
    <row r="2039" spans="1:24" ht="15" hidden="1" x14ac:dyDescent="0.2">
      <c r="A2039" s="451" t="s">
        <v>1614</v>
      </c>
      <c r="B2039" s="306" t="s">
        <v>204</v>
      </c>
      <c r="C2039" s="354" t="s">
        <v>609</v>
      </c>
      <c r="D2039" s="354" t="s">
        <v>605</v>
      </c>
      <c r="E2039" s="450" t="s">
        <v>1055</v>
      </c>
      <c r="F2039" s="450"/>
      <c r="G2039" s="498">
        <f>G2040+G2044+G2048</f>
        <v>0</v>
      </c>
      <c r="H2039" s="498">
        <f>H2040+H2044+H2048</f>
        <v>0</v>
      </c>
      <c r="I2039" s="591">
        <f>I2040+I2044+I2048</f>
        <v>0</v>
      </c>
      <c r="J2039" s="591">
        <f>J2040+J2044+J2048</f>
        <v>0</v>
      </c>
      <c r="K2039" s="591">
        <f t="shared" si="648"/>
        <v>0</v>
      </c>
      <c r="L2039" s="591">
        <f t="shared" si="649"/>
        <v>0</v>
      </c>
      <c r="M2039" s="217">
        <f t="shared" si="651"/>
        <v>0</v>
      </c>
      <c r="N2039" s="170"/>
      <c r="R2039" s="591">
        <f>R2040+R2044+R2048</f>
        <v>94116.808200000014</v>
      </c>
      <c r="S2039" s="591">
        <f>S2040+S2044+S2048</f>
        <v>92234.472120000006</v>
      </c>
      <c r="T2039" s="217"/>
      <c r="U2039" s="498">
        <f>U2040+U2044+U2048</f>
        <v>218772.46712000002</v>
      </c>
      <c r="V2039" s="498">
        <f>V2040+V2044+V2048</f>
        <v>214540.42853</v>
      </c>
      <c r="W2039" s="203">
        <f>G2039-I2039</f>
        <v>0</v>
      </c>
      <c r="X2039" s="203">
        <f>K2039+W2039</f>
        <v>0</v>
      </c>
    </row>
    <row r="2040" spans="1:24" ht="38.25" hidden="1" x14ac:dyDescent="0.2">
      <c r="A2040" s="451" t="s">
        <v>1615</v>
      </c>
      <c r="B2040" s="306" t="s">
        <v>204</v>
      </c>
      <c r="C2040" s="354" t="s">
        <v>609</v>
      </c>
      <c r="D2040" s="354" t="s">
        <v>605</v>
      </c>
      <c r="E2040" s="450" t="s">
        <v>1056</v>
      </c>
      <c r="F2040" s="450"/>
      <c r="G2040" s="498">
        <f>G2041+G2043+G2042</f>
        <v>0</v>
      </c>
      <c r="H2040" s="498">
        <f>H2041+H2043+H2042</f>
        <v>0</v>
      </c>
      <c r="I2040" s="591">
        <f>I2041+I2043+I2042</f>
        <v>0</v>
      </c>
      <c r="J2040" s="591">
        <f>J2041+J2043+J2042</f>
        <v>0</v>
      </c>
      <c r="K2040" s="591">
        <f t="shared" si="648"/>
        <v>0</v>
      </c>
      <c r="L2040" s="591">
        <f t="shared" si="649"/>
        <v>0</v>
      </c>
      <c r="M2040" s="217">
        <f t="shared" si="651"/>
        <v>0</v>
      </c>
      <c r="N2040" s="170"/>
      <c r="R2040" s="591">
        <f>R2041+R2043+R2042</f>
        <v>92234.472120000006</v>
      </c>
      <c r="S2040" s="591">
        <f>S2041+S2043+S2042</f>
        <v>92234.472120000006</v>
      </c>
      <c r="T2040" s="217"/>
      <c r="U2040" s="498">
        <f>U2041+U2043+U2042</f>
        <v>214540.42853</v>
      </c>
      <c r="V2040" s="498">
        <f>V2041+V2043+V2042</f>
        <v>214540.42853</v>
      </c>
      <c r="W2040" s="203">
        <f>G2040-I2040</f>
        <v>0</v>
      </c>
      <c r="X2040" s="203">
        <f>K2040+W2040</f>
        <v>0</v>
      </c>
    </row>
    <row r="2041" spans="1:24" ht="26.25" hidden="1" customHeight="1" x14ac:dyDescent="0.2">
      <c r="A2041" s="124" t="s">
        <v>1543</v>
      </c>
      <c r="B2041" s="243" t="s">
        <v>204</v>
      </c>
      <c r="C2041" s="353" t="s">
        <v>609</v>
      </c>
      <c r="D2041" s="353" t="s">
        <v>605</v>
      </c>
      <c r="E2041" s="369" t="s">
        <v>1056</v>
      </c>
      <c r="F2041" s="369" t="s">
        <v>1100</v>
      </c>
      <c r="G2041" s="288"/>
      <c r="H2041" s="288"/>
      <c r="I2041" s="288"/>
      <c r="J2041" s="288"/>
      <c r="K2041" s="43">
        <f t="shared" si="648"/>
        <v>0</v>
      </c>
      <c r="L2041" s="43">
        <f t="shared" si="649"/>
        <v>0</v>
      </c>
      <c r="M2041" s="217">
        <f t="shared" si="651"/>
        <v>0</v>
      </c>
      <c r="N2041" s="170"/>
      <c r="R2041" s="288"/>
      <c r="S2041" s="288"/>
      <c r="T2041" s="217"/>
      <c r="U2041" s="288">
        <v>92543.6</v>
      </c>
      <c r="V2041" s="288">
        <v>92543.6</v>
      </c>
      <c r="W2041" s="203">
        <f>G2041-I2041</f>
        <v>0</v>
      </c>
      <c r="X2041" s="203">
        <f>K2041+W2041</f>
        <v>0</v>
      </c>
    </row>
    <row r="2042" spans="1:24" ht="15" hidden="1" x14ac:dyDescent="0.2">
      <c r="A2042" s="124" t="s">
        <v>1616</v>
      </c>
      <c r="B2042" s="243" t="s">
        <v>204</v>
      </c>
      <c r="C2042" s="353" t="s">
        <v>609</v>
      </c>
      <c r="D2042" s="353" t="s">
        <v>605</v>
      </c>
      <c r="E2042" s="369" t="s">
        <v>1056</v>
      </c>
      <c r="F2042" s="369">
        <v>414</v>
      </c>
      <c r="G2042" s="288"/>
      <c r="H2042" s="654"/>
      <c r="I2042" s="288"/>
      <c r="J2042" s="654"/>
      <c r="K2042" s="43">
        <f t="shared" si="648"/>
        <v>0</v>
      </c>
      <c r="L2042" s="43">
        <f t="shared" si="649"/>
        <v>0</v>
      </c>
      <c r="M2042" s="217">
        <f t="shared" si="651"/>
        <v>0</v>
      </c>
      <c r="N2042" s="170"/>
      <c r="R2042" s="288">
        <v>74646.275210000007</v>
      </c>
      <c r="S2042" s="288">
        <v>74646.275210000007</v>
      </c>
      <c r="T2042" s="217"/>
      <c r="U2042" s="288">
        <v>0</v>
      </c>
      <c r="V2042" s="288">
        <v>0</v>
      </c>
      <c r="W2042" s="203"/>
      <c r="X2042" s="203"/>
    </row>
    <row r="2043" spans="1:24" ht="15" hidden="1" x14ac:dyDescent="0.2">
      <c r="A2043" s="124" t="s">
        <v>1581</v>
      </c>
      <c r="B2043" s="243" t="s">
        <v>204</v>
      </c>
      <c r="C2043" s="353" t="s">
        <v>609</v>
      </c>
      <c r="D2043" s="353" t="s">
        <v>605</v>
      </c>
      <c r="E2043" s="369" t="s">
        <v>1056</v>
      </c>
      <c r="F2043" s="369" t="s">
        <v>302</v>
      </c>
      <c r="G2043" s="288"/>
      <c r="H2043" s="288"/>
      <c r="I2043" s="288"/>
      <c r="J2043" s="288"/>
      <c r="K2043" s="43">
        <f t="shared" si="648"/>
        <v>0</v>
      </c>
      <c r="L2043" s="43">
        <f t="shared" si="649"/>
        <v>0</v>
      </c>
      <c r="M2043" s="217">
        <f t="shared" si="651"/>
        <v>0</v>
      </c>
      <c r="N2043" s="170"/>
      <c r="R2043" s="288">
        <v>17588.196909999999</v>
      </c>
      <c r="S2043" s="288">
        <v>17588.196909999999</v>
      </c>
      <c r="T2043" s="217"/>
      <c r="U2043" s="288">
        <v>121996.82853</v>
      </c>
      <c r="V2043" s="288">
        <v>121996.82853</v>
      </c>
      <c r="W2043" s="203">
        <f t="shared" ref="W2043:W2048" si="653">G2043-I2043</f>
        <v>0</v>
      </c>
      <c r="X2043" s="203">
        <f t="shared" ref="X2043:X2048" si="654">K2043+W2043</f>
        <v>0</v>
      </c>
    </row>
    <row r="2044" spans="1:24" ht="38.25" hidden="1" x14ac:dyDescent="0.2">
      <c r="A2044" s="451" t="s">
        <v>1617</v>
      </c>
      <c r="B2044" s="306" t="s">
        <v>204</v>
      </c>
      <c r="C2044" s="354" t="s">
        <v>609</v>
      </c>
      <c r="D2044" s="354" t="s">
        <v>605</v>
      </c>
      <c r="E2044" s="450" t="s">
        <v>1057</v>
      </c>
      <c r="F2044" s="450"/>
      <c r="G2044" s="498">
        <f>G2045+G2047+G2046</f>
        <v>0</v>
      </c>
      <c r="H2044" s="498">
        <f>H2045+H2047+H2046</f>
        <v>0</v>
      </c>
      <c r="I2044" s="591">
        <f>I2045+I2047+I2046</f>
        <v>0</v>
      </c>
      <c r="J2044" s="591">
        <f>J2045+J2047+J2046</f>
        <v>0</v>
      </c>
      <c r="K2044" s="591">
        <f t="shared" si="648"/>
        <v>0</v>
      </c>
      <c r="L2044" s="591">
        <f t="shared" si="649"/>
        <v>0</v>
      </c>
      <c r="M2044" s="217">
        <f t="shared" si="651"/>
        <v>0</v>
      </c>
      <c r="N2044" s="170"/>
      <c r="R2044" s="591">
        <f>R2045+R2047+R2046</f>
        <v>1694.10257</v>
      </c>
      <c r="S2044" s="591">
        <f>S2045+S2047+S2046</f>
        <v>0</v>
      </c>
      <c r="T2044" s="217"/>
      <c r="U2044" s="498">
        <f>U2045+U2047+U2046</f>
        <v>3940.5385900000001</v>
      </c>
      <c r="V2044" s="498">
        <f>V2045+V2047+V2046</f>
        <v>0</v>
      </c>
      <c r="W2044" s="203">
        <f t="shared" si="653"/>
        <v>0</v>
      </c>
      <c r="X2044" s="203">
        <f t="shared" si="654"/>
        <v>0</v>
      </c>
    </row>
    <row r="2045" spans="1:24" ht="25.5" hidden="1" customHeight="1" x14ac:dyDescent="0.2">
      <c r="A2045" s="124" t="s">
        <v>1543</v>
      </c>
      <c r="B2045" s="243" t="s">
        <v>204</v>
      </c>
      <c r="C2045" s="353" t="s">
        <v>609</v>
      </c>
      <c r="D2045" s="353" t="s">
        <v>605</v>
      </c>
      <c r="E2045" s="369" t="s">
        <v>1057</v>
      </c>
      <c r="F2045" s="369">
        <v>412</v>
      </c>
      <c r="G2045" s="288">
        <v>0</v>
      </c>
      <c r="H2045" s="288"/>
      <c r="I2045" s="288">
        <v>0</v>
      </c>
      <c r="J2045" s="288"/>
      <c r="K2045" s="43">
        <f t="shared" si="648"/>
        <v>0</v>
      </c>
      <c r="L2045" s="43">
        <f t="shared" si="649"/>
        <v>0</v>
      </c>
      <c r="M2045" s="217">
        <f t="shared" si="651"/>
        <v>0</v>
      </c>
      <c r="N2045" s="170"/>
      <c r="R2045" s="288">
        <v>0</v>
      </c>
      <c r="S2045" s="288"/>
      <c r="T2045" s="217"/>
      <c r="U2045" s="288">
        <v>1699.8</v>
      </c>
      <c r="V2045" s="288">
        <v>0</v>
      </c>
      <c r="W2045" s="203">
        <f t="shared" si="653"/>
        <v>0</v>
      </c>
      <c r="X2045" s="203">
        <f t="shared" si="654"/>
        <v>0</v>
      </c>
    </row>
    <row r="2046" spans="1:24" ht="15" hidden="1" x14ac:dyDescent="0.2">
      <c r="A2046" s="124" t="s">
        <v>1616</v>
      </c>
      <c r="B2046" s="243" t="s">
        <v>204</v>
      </c>
      <c r="C2046" s="353" t="s">
        <v>609</v>
      </c>
      <c r="D2046" s="353" t="s">
        <v>605</v>
      </c>
      <c r="E2046" s="369" t="s">
        <v>1057</v>
      </c>
      <c r="F2046" s="369">
        <v>414</v>
      </c>
      <c r="G2046" s="288"/>
      <c r="H2046" s="288"/>
      <c r="I2046" s="288"/>
      <c r="J2046" s="288"/>
      <c r="K2046" s="43">
        <f t="shared" si="648"/>
        <v>0</v>
      </c>
      <c r="L2046" s="43">
        <f t="shared" si="649"/>
        <v>0</v>
      </c>
      <c r="M2046" s="217">
        <f t="shared" si="651"/>
        <v>0</v>
      </c>
      <c r="N2046" s="170"/>
      <c r="R2046" s="288">
        <v>1371.05405</v>
      </c>
      <c r="S2046" s="288"/>
      <c r="T2046" s="217"/>
      <c r="U2046" s="288">
        <v>0</v>
      </c>
      <c r="V2046" s="288">
        <v>0</v>
      </c>
      <c r="W2046" s="203">
        <f t="shared" si="653"/>
        <v>0</v>
      </c>
      <c r="X2046" s="203">
        <f t="shared" si="654"/>
        <v>0</v>
      </c>
    </row>
    <row r="2047" spans="1:24" ht="15" hidden="1" x14ac:dyDescent="0.2">
      <c r="A2047" s="124" t="s">
        <v>1581</v>
      </c>
      <c r="B2047" s="243" t="s">
        <v>204</v>
      </c>
      <c r="C2047" s="353" t="s">
        <v>609</v>
      </c>
      <c r="D2047" s="353" t="s">
        <v>605</v>
      </c>
      <c r="E2047" s="369" t="s">
        <v>1057</v>
      </c>
      <c r="F2047" s="369" t="s">
        <v>302</v>
      </c>
      <c r="G2047" s="288"/>
      <c r="H2047" s="288"/>
      <c r="I2047" s="288"/>
      <c r="J2047" s="288"/>
      <c r="K2047" s="43">
        <f t="shared" si="648"/>
        <v>0</v>
      </c>
      <c r="L2047" s="43">
        <f t="shared" si="649"/>
        <v>0</v>
      </c>
      <c r="M2047" s="217">
        <f t="shared" si="651"/>
        <v>0</v>
      </c>
      <c r="N2047" s="170"/>
      <c r="R2047" s="288">
        <v>323.04852</v>
      </c>
      <c r="S2047" s="288"/>
      <c r="T2047" s="217"/>
      <c r="U2047" s="288">
        <v>2240.7385899999999</v>
      </c>
      <c r="V2047" s="288">
        <v>0</v>
      </c>
      <c r="W2047" s="203">
        <f t="shared" si="653"/>
        <v>0</v>
      </c>
      <c r="X2047" s="203">
        <f t="shared" si="654"/>
        <v>0</v>
      </c>
    </row>
    <row r="2048" spans="1:24" ht="38.25" hidden="1" x14ac:dyDescent="0.2">
      <c r="A2048" s="451" t="s">
        <v>1618</v>
      </c>
      <c r="B2048" s="306" t="s">
        <v>204</v>
      </c>
      <c r="C2048" s="354" t="s">
        <v>609</v>
      </c>
      <c r="D2048" s="354" t="s">
        <v>605</v>
      </c>
      <c r="E2048" s="450" t="s">
        <v>1058</v>
      </c>
      <c r="F2048" s="450"/>
      <c r="G2048" s="498">
        <f>G2050+G2051+G2049</f>
        <v>0</v>
      </c>
      <c r="H2048" s="498">
        <f>H2050+H2051+H2049</f>
        <v>0</v>
      </c>
      <c r="I2048" s="591">
        <f>I2050+I2051+I2049</f>
        <v>0</v>
      </c>
      <c r="J2048" s="591">
        <f>J2050+J2051+J2049</f>
        <v>0</v>
      </c>
      <c r="K2048" s="591">
        <f t="shared" si="648"/>
        <v>0</v>
      </c>
      <c r="L2048" s="591">
        <f t="shared" si="649"/>
        <v>0</v>
      </c>
      <c r="M2048" s="217">
        <f t="shared" si="651"/>
        <v>0</v>
      </c>
      <c r="N2048" s="170"/>
      <c r="R2048" s="591">
        <f>R2050+R2051+R2049</f>
        <v>188.23351</v>
      </c>
      <c r="S2048" s="591">
        <f>S2050+S2051+S2049</f>
        <v>0</v>
      </c>
      <c r="T2048" s="217"/>
      <c r="U2048" s="498">
        <f>U2050+U2051+U2049</f>
        <v>291.5</v>
      </c>
      <c r="V2048" s="498">
        <f>V2050+V2051+V2049</f>
        <v>0</v>
      </c>
      <c r="W2048" s="203">
        <f t="shared" si="653"/>
        <v>0</v>
      </c>
      <c r="X2048" s="203">
        <f t="shared" si="654"/>
        <v>0</v>
      </c>
    </row>
    <row r="2049" spans="1:24" ht="33" hidden="1" customHeight="1" x14ac:dyDescent="0.2">
      <c r="A2049" s="124" t="s">
        <v>1543</v>
      </c>
      <c r="B2049" s="243" t="s">
        <v>204</v>
      </c>
      <c r="C2049" s="353" t="s">
        <v>609</v>
      </c>
      <c r="D2049" s="353" t="s">
        <v>605</v>
      </c>
      <c r="E2049" s="369" t="s">
        <v>1058</v>
      </c>
      <c r="F2049" s="369">
        <v>412</v>
      </c>
      <c r="G2049" s="288">
        <v>0</v>
      </c>
      <c r="H2049" s="288">
        <v>0</v>
      </c>
      <c r="I2049" s="288">
        <v>0</v>
      </c>
      <c r="J2049" s="288">
        <v>0</v>
      </c>
      <c r="K2049" s="43">
        <f t="shared" si="648"/>
        <v>0</v>
      </c>
      <c r="L2049" s="43">
        <f t="shared" si="649"/>
        <v>0</v>
      </c>
      <c r="M2049" s="217"/>
      <c r="N2049" s="170"/>
      <c r="R2049" s="288">
        <v>0</v>
      </c>
      <c r="S2049" s="288">
        <v>0</v>
      </c>
      <c r="T2049" s="217"/>
      <c r="U2049" s="288">
        <v>86.575999999999993</v>
      </c>
      <c r="V2049" s="288">
        <v>0</v>
      </c>
      <c r="W2049" s="203"/>
      <c r="X2049" s="203"/>
    </row>
    <row r="2050" spans="1:24" ht="15" hidden="1" x14ac:dyDescent="0.2">
      <c r="A2050" s="124" t="s">
        <v>1616</v>
      </c>
      <c r="B2050" s="243" t="s">
        <v>204</v>
      </c>
      <c r="C2050" s="353" t="s">
        <v>609</v>
      </c>
      <c r="D2050" s="353" t="s">
        <v>605</v>
      </c>
      <c r="E2050" s="369" t="s">
        <v>1058</v>
      </c>
      <c r="F2050" s="369">
        <v>414</v>
      </c>
      <c r="G2050" s="288"/>
      <c r="H2050" s="288"/>
      <c r="I2050" s="288"/>
      <c r="J2050" s="288"/>
      <c r="K2050" s="43">
        <f t="shared" si="648"/>
        <v>0</v>
      </c>
      <c r="L2050" s="43">
        <f t="shared" si="649"/>
        <v>0</v>
      </c>
      <c r="M2050" s="217">
        <f>I2050-G2050-K2050</f>
        <v>0</v>
      </c>
      <c r="N2050" s="170"/>
      <c r="R2050" s="288">
        <f>41.93351+110.40574</f>
        <v>152.33924999999999</v>
      </c>
      <c r="S2050" s="288"/>
      <c r="T2050" s="217"/>
      <c r="U2050" s="288">
        <v>0</v>
      </c>
      <c r="V2050" s="288">
        <v>0</v>
      </c>
      <c r="W2050" s="203">
        <f>G2050-I2050</f>
        <v>0</v>
      </c>
      <c r="X2050" s="203">
        <f>K2050+W2050</f>
        <v>0</v>
      </c>
    </row>
    <row r="2051" spans="1:24" ht="15" hidden="1" x14ac:dyDescent="0.2">
      <c r="A2051" s="124" t="s">
        <v>1581</v>
      </c>
      <c r="B2051" s="243" t="s">
        <v>204</v>
      </c>
      <c r="C2051" s="353" t="s">
        <v>609</v>
      </c>
      <c r="D2051" s="353" t="s">
        <v>605</v>
      </c>
      <c r="E2051" s="369" t="s">
        <v>1058</v>
      </c>
      <c r="F2051" s="369" t="s">
        <v>302</v>
      </c>
      <c r="G2051" s="288"/>
      <c r="H2051" s="288"/>
      <c r="I2051" s="288"/>
      <c r="J2051" s="288"/>
      <c r="K2051" s="43">
        <f t="shared" si="648"/>
        <v>0</v>
      </c>
      <c r="L2051" s="43">
        <f t="shared" si="649"/>
        <v>0</v>
      </c>
      <c r="M2051" s="217">
        <f>I2051-G2051-K2051</f>
        <v>0</v>
      </c>
      <c r="N2051" s="170"/>
      <c r="R2051" s="288">
        <v>35.894260000000003</v>
      </c>
      <c r="S2051" s="288"/>
      <c r="T2051" s="217"/>
      <c r="U2051" s="288">
        <v>204.92400000000001</v>
      </c>
      <c r="V2051" s="288">
        <v>0</v>
      </c>
      <c r="W2051" s="203">
        <f>G2051-I2051</f>
        <v>0</v>
      </c>
      <c r="X2051" s="203">
        <f>K2051+W2051</f>
        <v>0</v>
      </c>
    </row>
    <row r="2052" spans="1:24" ht="25.5" hidden="1" x14ac:dyDescent="0.2">
      <c r="A2052" s="121" t="s">
        <v>1205</v>
      </c>
      <c r="B2052" s="388" t="s">
        <v>204</v>
      </c>
      <c r="C2052" s="389" t="s">
        <v>609</v>
      </c>
      <c r="D2052" s="389" t="s">
        <v>605</v>
      </c>
      <c r="E2052" s="390">
        <v>8900000000</v>
      </c>
      <c r="F2052" s="390"/>
      <c r="G2052" s="391">
        <f t="shared" ref="G2052:L2054" si="655">G2053</f>
        <v>0</v>
      </c>
      <c r="H2052" s="391">
        <f t="shared" si="655"/>
        <v>0</v>
      </c>
      <c r="I2052" s="391">
        <f t="shared" si="655"/>
        <v>0</v>
      </c>
      <c r="J2052" s="391">
        <f t="shared" si="655"/>
        <v>0</v>
      </c>
      <c r="K2052" s="391">
        <f t="shared" si="655"/>
        <v>0</v>
      </c>
      <c r="L2052" s="391">
        <f t="shared" si="655"/>
        <v>0</v>
      </c>
      <c r="M2052" s="217"/>
      <c r="N2052" s="170"/>
      <c r="R2052" s="288"/>
      <c r="S2052" s="288"/>
      <c r="T2052" s="217"/>
      <c r="U2052" s="288"/>
      <c r="V2052" s="288"/>
      <c r="W2052" s="203"/>
      <c r="X2052" s="203"/>
    </row>
    <row r="2053" spans="1:24" ht="15" hidden="1" x14ac:dyDescent="0.2">
      <c r="A2053" s="121" t="s">
        <v>1284</v>
      </c>
      <c r="B2053" s="388" t="s">
        <v>204</v>
      </c>
      <c r="C2053" s="389" t="s">
        <v>609</v>
      </c>
      <c r="D2053" s="389" t="s">
        <v>605</v>
      </c>
      <c r="E2053" s="390">
        <v>8900500000</v>
      </c>
      <c r="F2053" s="390"/>
      <c r="G2053" s="391">
        <f t="shared" si="655"/>
        <v>0</v>
      </c>
      <c r="H2053" s="391">
        <f t="shared" si="655"/>
        <v>0</v>
      </c>
      <c r="I2053" s="391">
        <f t="shared" si="655"/>
        <v>0</v>
      </c>
      <c r="J2053" s="391">
        <f t="shared" si="655"/>
        <v>0</v>
      </c>
      <c r="K2053" s="391">
        <f t="shared" si="655"/>
        <v>0</v>
      </c>
      <c r="L2053" s="391">
        <f t="shared" si="655"/>
        <v>0</v>
      </c>
      <c r="M2053" s="217"/>
      <c r="N2053" s="170"/>
      <c r="R2053" s="288"/>
      <c r="S2053" s="288"/>
      <c r="T2053" s="217"/>
      <c r="U2053" s="288"/>
      <c r="V2053" s="288"/>
      <c r="W2053" s="203"/>
      <c r="X2053" s="203"/>
    </row>
    <row r="2054" spans="1:24" ht="15" hidden="1" x14ac:dyDescent="0.2">
      <c r="A2054" s="121" t="s">
        <v>1285</v>
      </c>
      <c r="B2054" s="388" t="s">
        <v>204</v>
      </c>
      <c r="C2054" s="389" t="s">
        <v>609</v>
      </c>
      <c r="D2054" s="389" t="s">
        <v>605</v>
      </c>
      <c r="E2054" s="390" t="s">
        <v>1286</v>
      </c>
      <c r="F2054" s="390"/>
      <c r="G2054" s="391">
        <f t="shared" si="655"/>
        <v>0</v>
      </c>
      <c r="H2054" s="391">
        <f t="shared" si="655"/>
        <v>0</v>
      </c>
      <c r="I2054" s="391">
        <f t="shared" si="655"/>
        <v>0</v>
      </c>
      <c r="J2054" s="391">
        <f t="shared" si="655"/>
        <v>0</v>
      </c>
      <c r="K2054" s="391">
        <f t="shared" si="655"/>
        <v>0</v>
      </c>
      <c r="L2054" s="391">
        <f t="shared" si="655"/>
        <v>0</v>
      </c>
      <c r="M2054" s="217"/>
      <c r="N2054" s="170"/>
      <c r="R2054" s="288"/>
      <c r="S2054" s="288"/>
      <c r="T2054" s="217"/>
      <c r="U2054" s="288"/>
      <c r="V2054" s="288"/>
      <c r="W2054" s="203"/>
      <c r="X2054" s="203"/>
    </row>
    <row r="2055" spans="1:24" ht="15" hidden="1" x14ac:dyDescent="0.2">
      <c r="A2055" s="186" t="s">
        <v>1882</v>
      </c>
      <c r="B2055" s="243" t="s">
        <v>204</v>
      </c>
      <c r="C2055" s="353" t="s">
        <v>609</v>
      </c>
      <c r="D2055" s="353" t="s">
        <v>605</v>
      </c>
      <c r="E2055" s="369" t="s">
        <v>1286</v>
      </c>
      <c r="F2055" s="369">
        <v>414</v>
      </c>
      <c r="G2055" s="288"/>
      <c r="H2055" s="288"/>
      <c r="I2055" s="288"/>
      <c r="J2055" s="288"/>
      <c r="K2055" s="43">
        <f t="shared" si="648"/>
        <v>0</v>
      </c>
      <c r="L2055" s="43">
        <f t="shared" si="649"/>
        <v>0</v>
      </c>
      <c r="M2055" s="217"/>
      <c r="N2055" s="170"/>
      <c r="R2055" s="288"/>
      <c r="S2055" s="288"/>
      <c r="T2055" s="217"/>
      <c r="U2055" s="288"/>
      <c r="V2055" s="288"/>
      <c r="W2055" s="203"/>
      <c r="X2055" s="203"/>
    </row>
    <row r="2056" spans="1:24" ht="16.5" hidden="1" customHeight="1" x14ac:dyDescent="0.2">
      <c r="A2056" s="520" t="s">
        <v>1565</v>
      </c>
      <c r="B2056" s="306" t="s">
        <v>204</v>
      </c>
      <c r="C2056" s="354" t="s">
        <v>609</v>
      </c>
      <c r="D2056" s="354" t="s">
        <v>605</v>
      </c>
      <c r="E2056" s="514">
        <v>9990000000</v>
      </c>
      <c r="F2056" s="514"/>
      <c r="G2056" s="498">
        <f t="shared" ref="G2056:J2057" si="656">G2057</f>
        <v>0</v>
      </c>
      <c r="H2056" s="498">
        <f t="shared" si="656"/>
        <v>0</v>
      </c>
      <c r="I2056" s="591">
        <f t="shared" si="656"/>
        <v>0</v>
      </c>
      <c r="J2056" s="591">
        <f t="shared" si="656"/>
        <v>0</v>
      </c>
      <c r="K2056" s="591">
        <f t="shared" si="648"/>
        <v>0</v>
      </c>
      <c r="L2056" s="591">
        <f t="shared" si="649"/>
        <v>0</v>
      </c>
      <c r="M2056" s="217"/>
      <c r="N2056" s="170"/>
      <c r="R2056" s="591">
        <f>R2057</f>
        <v>0</v>
      </c>
      <c r="S2056" s="591">
        <f>S2057</f>
        <v>0</v>
      </c>
      <c r="T2056" s="217"/>
      <c r="U2056" s="498">
        <f>U2057</f>
        <v>47.400739999999999</v>
      </c>
      <c r="V2056" s="498">
        <f>V2057</f>
        <v>0</v>
      </c>
      <c r="W2056" s="203"/>
      <c r="X2056" s="203"/>
    </row>
    <row r="2057" spans="1:24" ht="27" hidden="1" customHeight="1" x14ac:dyDescent="0.2">
      <c r="A2057" s="520" t="s">
        <v>1590</v>
      </c>
      <c r="B2057" s="306" t="s">
        <v>204</v>
      </c>
      <c r="C2057" s="354" t="s">
        <v>609</v>
      </c>
      <c r="D2057" s="354" t="s">
        <v>605</v>
      </c>
      <c r="E2057" s="514">
        <v>9990082900</v>
      </c>
      <c r="F2057" s="514"/>
      <c r="G2057" s="498">
        <f t="shared" si="656"/>
        <v>0</v>
      </c>
      <c r="H2057" s="498">
        <f t="shared" si="656"/>
        <v>0</v>
      </c>
      <c r="I2057" s="591">
        <f t="shared" si="656"/>
        <v>0</v>
      </c>
      <c r="J2057" s="591">
        <f t="shared" si="656"/>
        <v>0</v>
      </c>
      <c r="K2057" s="591">
        <f t="shared" si="648"/>
        <v>0</v>
      </c>
      <c r="L2057" s="591">
        <f t="shared" si="649"/>
        <v>0</v>
      </c>
      <c r="M2057" s="217"/>
      <c r="N2057" s="170"/>
      <c r="R2057" s="591">
        <f>R2058</f>
        <v>0</v>
      </c>
      <c r="S2057" s="591">
        <f>S2058</f>
        <v>0</v>
      </c>
      <c r="T2057" s="217"/>
      <c r="U2057" s="498">
        <f>U2058</f>
        <v>47.400739999999999</v>
      </c>
      <c r="V2057" s="498">
        <f>V2058</f>
        <v>0</v>
      </c>
      <c r="W2057" s="203"/>
      <c r="X2057" s="203"/>
    </row>
    <row r="2058" spans="1:24" ht="16.5" hidden="1" customHeight="1" x14ac:dyDescent="0.2">
      <c r="A2058" s="186" t="s">
        <v>1579</v>
      </c>
      <c r="B2058" s="243" t="s">
        <v>204</v>
      </c>
      <c r="C2058" s="353" t="s">
        <v>609</v>
      </c>
      <c r="D2058" s="353" t="s">
        <v>605</v>
      </c>
      <c r="E2058" s="369">
        <v>9990082900</v>
      </c>
      <c r="F2058" s="369">
        <v>247</v>
      </c>
      <c r="G2058" s="288"/>
      <c r="H2058" s="288"/>
      <c r="I2058" s="288"/>
      <c r="J2058" s="288"/>
      <c r="K2058" s="43">
        <f t="shared" si="648"/>
        <v>0</v>
      </c>
      <c r="L2058" s="43">
        <f t="shared" si="649"/>
        <v>0</v>
      </c>
      <c r="M2058" s="217"/>
      <c r="N2058" s="170"/>
      <c r="R2058" s="288"/>
      <c r="S2058" s="288"/>
      <c r="T2058" s="217"/>
      <c r="U2058" s="288">
        <v>47.400739999999999</v>
      </c>
      <c r="V2058" s="288"/>
      <c r="W2058" s="203"/>
      <c r="X2058" s="203"/>
    </row>
    <row r="2059" spans="1:24" ht="15" x14ac:dyDescent="0.2">
      <c r="A2059" s="746" t="s">
        <v>256</v>
      </c>
      <c r="B2059" s="306" t="s">
        <v>204</v>
      </c>
      <c r="C2059" s="354" t="s">
        <v>609</v>
      </c>
      <c r="D2059" s="354" t="s">
        <v>614</v>
      </c>
      <c r="E2059" s="450"/>
      <c r="F2059" s="450"/>
      <c r="G2059" s="591">
        <f>G2089+G2067+G2071+G2085+G2060</f>
        <v>77212.41</v>
      </c>
      <c r="H2059" s="591">
        <f t="shared" ref="H2059:L2059" si="657">H2089+H2067+H2071+H2085+H2060</f>
        <v>52537.1</v>
      </c>
      <c r="I2059" s="591">
        <f t="shared" si="657"/>
        <v>152629.41</v>
      </c>
      <c r="J2059" s="591">
        <f t="shared" si="657"/>
        <v>52537.1</v>
      </c>
      <c r="K2059" s="591">
        <f t="shared" si="657"/>
        <v>75417</v>
      </c>
      <c r="L2059" s="591">
        <f t="shared" si="657"/>
        <v>0</v>
      </c>
      <c r="M2059" s="217">
        <f>I2059-G2059-K2059</f>
        <v>0</v>
      </c>
      <c r="N2059" s="170" t="e">
        <f>N2089</f>
        <v>#REF!</v>
      </c>
      <c r="R2059" s="591">
        <f>R2089+R2067+R2071</f>
        <v>28841.06307</v>
      </c>
      <c r="S2059" s="591">
        <f>S2089+S2067+S2071</f>
        <v>0</v>
      </c>
      <c r="T2059" s="217">
        <f>I2059-G2059</f>
        <v>75417</v>
      </c>
      <c r="U2059" s="498">
        <f>U2089+U2067</f>
        <v>15957.048999999999</v>
      </c>
      <c r="V2059" s="498">
        <f>V2089+V2067</f>
        <v>0</v>
      </c>
      <c r="W2059" s="203">
        <f>G2059-I2059</f>
        <v>-75417</v>
      </c>
      <c r="X2059" s="203">
        <f>K2059+W2059</f>
        <v>0</v>
      </c>
    </row>
    <row r="2060" spans="1:24" ht="25.5" x14ac:dyDescent="0.2">
      <c r="A2060" s="746" t="s">
        <v>1550</v>
      </c>
      <c r="B2060" s="306" t="s">
        <v>204</v>
      </c>
      <c r="C2060" s="354" t="s">
        <v>609</v>
      </c>
      <c r="D2060" s="354" t="s">
        <v>614</v>
      </c>
      <c r="E2060" s="719" t="s">
        <v>1547</v>
      </c>
      <c r="F2060" s="697"/>
      <c r="G2060" s="591">
        <f>G2061+G2064</f>
        <v>0</v>
      </c>
      <c r="H2060" s="591">
        <f t="shared" ref="H2060:L2060" si="658">H2061+H2064</f>
        <v>0</v>
      </c>
      <c r="I2060" s="591">
        <f t="shared" si="658"/>
        <v>75417</v>
      </c>
      <c r="J2060" s="591">
        <f t="shared" si="658"/>
        <v>0</v>
      </c>
      <c r="K2060" s="591">
        <f t="shared" si="658"/>
        <v>75417</v>
      </c>
      <c r="L2060" s="591">
        <f t="shared" si="658"/>
        <v>0</v>
      </c>
      <c r="M2060" s="217"/>
      <c r="N2060" s="170"/>
      <c r="R2060" s="591"/>
      <c r="S2060" s="591"/>
      <c r="T2060" s="217"/>
      <c r="U2060" s="591"/>
      <c r="V2060" s="591"/>
      <c r="W2060" s="203"/>
      <c r="X2060" s="203"/>
    </row>
    <row r="2061" spans="1:24" ht="15" x14ac:dyDescent="0.2">
      <c r="A2061" s="746" t="s">
        <v>2033</v>
      </c>
      <c r="B2061" s="306" t="s">
        <v>204</v>
      </c>
      <c r="C2061" s="354" t="s">
        <v>609</v>
      </c>
      <c r="D2061" s="354" t="s">
        <v>614</v>
      </c>
      <c r="E2061" s="719" t="s">
        <v>2029</v>
      </c>
      <c r="F2061" s="697"/>
      <c r="G2061" s="591">
        <f>G2062</f>
        <v>0</v>
      </c>
      <c r="H2061" s="591">
        <f t="shared" ref="H2061:L2062" si="659">H2062</f>
        <v>0</v>
      </c>
      <c r="I2061" s="591">
        <f t="shared" si="659"/>
        <v>70448</v>
      </c>
      <c r="J2061" s="591">
        <f t="shared" si="659"/>
        <v>0</v>
      </c>
      <c r="K2061" s="591">
        <f t="shared" si="659"/>
        <v>70448</v>
      </c>
      <c r="L2061" s="591">
        <f t="shared" si="659"/>
        <v>0</v>
      </c>
      <c r="M2061" s="217"/>
      <c r="N2061" s="170"/>
      <c r="R2061" s="591"/>
      <c r="S2061" s="591"/>
      <c r="T2061" s="217"/>
      <c r="U2061" s="591"/>
      <c r="V2061" s="591"/>
      <c r="W2061" s="203"/>
      <c r="X2061" s="203"/>
    </row>
    <row r="2062" spans="1:24" ht="26.25" customHeight="1" x14ac:dyDescent="0.2">
      <c r="A2062" s="746" t="s">
        <v>2034</v>
      </c>
      <c r="B2062" s="306" t="s">
        <v>204</v>
      </c>
      <c r="C2062" s="354" t="s">
        <v>609</v>
      </c>
      <c r="D2062" s="354" t="s">
        <v>614</v>
      </c>
      <c r="E2062" s="719" t="s">
        <v>2030</v>
      </c>
      <c r="F2062" s="697"/>
      <c r="G2062" s="591">
        <f>G2063</f>
        <v>0</v>
      </c>
      <c r="H2062" s="591">
        <f t="shared" si="659"/>
        <v>0</v>
      </c>
      <c r="I2062" s="591">
        <f t="shared" si="659"/>
        <v>70448</v>
      </c>
      <c r="J2062" s="591">
        <f t="shared" si="659"/>
        <v>0</v>
      </c>
      <c r="K2062" s="591">
        <f t="shared" si="659"/>
        <v>70448</v>
      </c>
      <c r="L2062" s="591">
        <f t="shared" si="659"/>
        <v>0</v>
      </c>
      <c r="M2062" s="217"/>
      <c r="N2062" s="170"/>
      <c r="R2062" s="591"/>
      <c r="S2062" s="591"/>
      <c r="T2062" s="217"/>
      <c r="U2062" s="591"/>
      <c r="V2062" s="591"/>
      <c r="W2062" s="203"/>
      <c r="X2062" s="203"/>
    </row>
    <row r="2063" spans="1:24" ht="15" x14ac:dyDescent="0.2">
      <c r="A2063" s="748" t="s">
        <v>1584</v>
      </c>
      <c r="B2063" s="692" t="s">
        <v>204</v>
      </c>
      <c r="C2063" s="693" t="s">
        <v>609</v>
      </c>
      <c r="D2063" s="693" t="s">
        <v>614</v>
      </c>
      <c r="E2063" s="721" t="s">
        <v>2030</v>
      </c>
      <c r="F2063" s="698">
        <v>540</v>
      </c>
      <c r="G2063" s="696"/>
      <c r="H2063" s="696"/>
      <c r="I2063" s="696">
        <v>70448</v>
      </c>
      <c r="J2063" s="696"/>
      <c r="K2063" s="43">
        <f t="shared" ref="K2063" si="660">I2063-G2063</f>
        <v>70448</v>
      </c>
      <c r="L2063" s="43">
        <f t="shared" ref="L2063" si="661">J2063-H2063</f>
        <v>0</v>
      </c>
      <c r="M2063" s="217"/>
      <c r="N2063" s="170"/>
      <c r="R2063" s="591"/>
      <c r="S2063" s="591"/>
      <c r="T2063" s="217"/>
      <c r="U2063" s="591"/>
      <c r="V2063" s="591"/>
      <c r="W2063" s="203"/>
      <c r="X2063" s="203"/>
    </row>
    <row r="2064" spans="1:24" ht="15" x14ac:dyDescent="0.2">
      <c r="A2064" s="746" t="s">
        <v>2035</v>
      </c>
      <c r="B2064" s="306" t="s">
        <v>204</v>
      </c>
      <c r="C2064" s="354" t="s">
        <v>609</v>
      </c>
      <c r="D2064" s="354" t="s">
        <v>614</v>
      </c>
      <c r="E2064" s="719" t="s">
        <v>2031</v>
      </c>
      <c r="F2064" s="697"/>
      <c r="G2064" s="591">
        <f>G2065</f>
        <v>0</v>
      </c>
      <c r="H2064" s="591">
        <f t="shared" ref="H2064:L2065" si="662">H2065</f>
        <v>0</v>
      </c>
      <c r="I2064" s="591">
        <f t="shared" si="662"/>
        <v>4969</v>
      </c>
      <c r="J2064" s="591">
        <f t="shared" si="662"/>
        <v>0</v>
      </c>
      <c r="K2064" s="591">
        <f t="shared" si="662"/>
        <v>4969</v>
      </c>
      <c r="L2064" s="591">
        <f t="shared" si="662"/>
        <v>0</v>
      </c>
      <c r="M2064" s="217"/>
      <c r="N2064" s="170"/>
      <c r="R2064" s="591"/>
      <c r="S2064" s="591"/>
      <c r="T2064" s="217"/>
      <c r="U2064" s="591"/>
      <c r="V2064" s="591"/>
      <c r="W2064" s="203"/>
      <c r="X2064" s="203"/>
    </row>
    <row r="2065" spans="1:24" ht="26.25" customHeight="1" x14ac:dyDescent="0.2">
      <c r="A2065" s="746" t="s">
        <v>2034</v>
      </c>
      <c r="B2065" s="306" t="s">
        <v>204</v>
      </c>
      <c r="C2065" s="354" t="s">
        <v>609</v>
      </c>
      <c r="D2065" s="354" t="s">
        <v>614</v>
      </c>
      <c r="E2065" s="719" t="s">
        <v>2032</v>
      </c>
      <c r="F2065" s="697"/>
      <c r="G2065" s="591">
        <f>G2066</f>
        <v>0</v>
      </c>
      <c r="H2065" s="591">
        <f t="shared" si="662"/>
        <v>0</v>
      </c>
      <c r="I2065" s="591">
        <f t="shared" si="662"/>
        <v>4969</v>
      </c>
      <c r="J2065" s="591">
        <f t="shared" si="662"/>
        <v>0</v>
      </c>
      <c r="K2065" s="591">
        <f t="shared" si="662"/>
        <v>4969</v>
      </c>
      <c r="L2065" s="591">
        <f t="shared" si="662"/>
        <v>0</v>
      </c>
      <c r="M2065" s="217"/>
      <c r="N2065" s="170"/>
      <c r="R2065" s="591"/>
      <c r="S2065" s="591"/>
      <c r="T2065" s="217"/>
      <c r="U2065" s="591"/>
      <c r="V2065" s="591"/>
      <c r="W2065" s="203"/>
      <c r="X2065" s="203"/>
    </row>
    <row r="2066" spans="1:24" ht="15" x14ac:dyDescent="0.2">
      <c r="A2066" s="748" t="s">
        <v>1584</v>
      </c>
      <c r="B2066" s="692" t="s">
        <v>204</v>
      </c>
      <c r="C2066" s="693" t="s">
        <v>609</v>
      </c>
      <c r="D2066" s="693" t="s">
        <v>614</v>
      </c>
      <c r="E2066" s="721" t="s">
        <v>2032</v>
      </c>
      <c r="F2066" s="698">
        <v>540</v>
      </c>
      <c r="G2066" s="696"/>
      <c r="H2066" s="696"/>
      <c r="I2066" s="696">
        <v>4969</v>
      </c>
      <c r="J2066" s="696"/>
      <c r="K2066" s="43">
        <f t="shared" ref="K2066" si="663">I2066-G2066</f>
        <v>4969</v>
      </c>
      <c r="L2066" s="43">
        <f t="shared" ref="L2066" si="664">J2066-H2066</f>
        <v>0</v>
      </c>
      <c r="M2066" s="217"/>
      <c r="N2066" s="170"/>
      <c r="R2066" s="591"/>
      <c r="S2066" s="591"/>
      <c r="T2066" s="217"/>
      <c r="U2066" s="591"/>
      <c r="V2066" s="591"/>
      <c r="W2066" s="203"/>
      <c r="X2066" s="203"/>
    </row>
    <row r="2067" spans="1:24" ht="24.75" hidden="1" customHeight="1" x14ac:dyDescent="0.2">
      <c r="A2067" s="511" t="s">
        <v>1543</v>
      </c>
      <c r="B2067" s="306" t="s">
        <v>204</v>
      </c>
      <c r="C2067" s="354" t="s">
        <v>609</v>
      </c>
      <c r="D2067" s="354" t="s">
        <v>614</v>
      </c>
      <c r="E2067" s="506">
        <v>8000000000</v>
      </c>
      <c r="F2067" s="506"/>
      <c r="G2067" s="498">
        <f t="shared" ref="G2067:J2069" si="665">G2068</f>
        <v>0</v>
      </c>
      <c r="H2067" s="498">
        <f t="shared" si="665"/>
        <v>0</v>
      </c>
      <c r="I2067" s="591">
        <f t="shared" si="665"/>
        <v>0</v>
      </c>
      <c r="J2067" s="591">
        <f t="shared" si="665"/>
        <v>0</v>
      </c>
      <c r="K2067" s="591">
        <f t="shared" si="648"/>
        <v>0</v>
      </c>
      <c r="L2067" s="591">
        <f t="shared" si="649"/>
        <v>0</v>
      </c>
      <c r="M2067" s="217"/>
      <c r="N2067" s="170"/>
      <c r="R2067" s="591">
        <f t="shared" ref="R2067:S2069" si="666">R2068</f>
        <v>0</v>
      </c>
      <c r="S2067" s="591">
        <f t="shared" si="666"/>
        <v>0</v>
      </c>
      <c r="T2067" s="217"/>
      <c r="U2067" s="498">
        <f t="shared" ref="U2067:V2069" si="667">U2068</f>
        <v>3888.8890000000001</v>
      </c>
      <c r="V2067" s="498">
        <f t="shared" si="667"/>
        <v>0</v>
      </c>
      <c r="W2067" s="203"/>
      <c r="X2067" s="203"/>
    </row>
    <row r="2068" spans="1:24" ht="15.75" hidden="1" customHeight="1" x14ac:dyDescent="0.2">
      <c r="A2068" s="511" t="s">
        <v>1543</v>
      </c>
      <c r="B2068" s="306" t="s">
        <v>204</v>
      </c>
      <c r="C2068" s="354" t="s">
        <v>609</v>
      </c>
      <c r="D2068" s="354" t="s">
        <v>614</v>
      </c>
      <c r="E2068" s="506">
        <v>8001000000</v>
      </c>
      <c r="F2068" s="506"/>
      <c r="G2068" s="498">
        <f t="shared" si="665"/>
        <v>0</v>
      </c>
      <c r="H2068" s="498">
        <f t="shared" si="665"/>
        <v>0</v>
      </c>
      <c r="I2068" s="591">
        <f t="shared" si="665"/>
        <v>0</v>
      </c>
      <c r="J2068" s="591">
        <f t="shared" si="665"/>
        <v>0</v>
      </c>
      <c r="K2068" s="591">
        <f t="shared" si="648"/>
        <v>0</v>
      </c>
      <c r="L2068" s="591">
        <f t="shared" si="649"/>
        <v>0</v>
      </c>
      <c r="M2068" s="217"/>
      <c r="N2068" s="170"/>
      <c r="R2068" s="591">
        <f t="shared" si="666"/>
        <v>0</v>
      </c>
      <c r="S2068" s="591">
        <f t="shared" si="666"/>
        <v>0</v>
      </c>
      <c r="T2068" s="217"/>
      <c r="U2068" s="498">
        <f t="shared" si="667"/>
        <v>3888.8890000000001</v>
      </c>
      <c r="V2068" s="498">
        <f t="shared" si="667"/>
        <v>0</v>
      </c>
      <c r="W2068" s="203"/>
      <c r="X2068" s="203"/>
    </row>
    <row r="2069" spans="1:24" ht="12" hidden="1" customHeight="1" x14ac:dyDescent="0.2">
      <c r="A2069" s="121" t="s">
        <v>1543</v>
      </c>
      <c r="B2069" s="392">
        <v>961</v>
      </c>
      <c r="C2069" s="354" t="s">
        <v>609</v>
      </c>
      <c r="D2069" s="354" t="s">
        <v>614</v>
      </c>
      <c r="E2069" s="390" t="s">
        <v>1357</v>
      </c>
      <c r="F2069" s="390"/>
      <c r="G2069" s="391">
        <f t="shared" si="665"/>
        <v>0</v>
      </c>
      <c r="H2069" s="391">
        <f t="shared" si="665"/>
        <v>0</v>
      </c>
      <c r="I2069" s="391">
        <f t="shared" si="665"/>
        <v>0</v>
      </c>
      <c r="J2069" s="391">
        <f t="shared" si="665"/>
        <v>0</v>
      </c>
      <c r="K2069" s="391">
        <f t="shared" si="648"/>
        <v>0</v>
      </c>
      <c r="L2069" s="391">
        <f t="shared" si="649"/>
        <v>0</v>
      </c>
      <c r="M2069" s="217">
        <f>I2069-G2069-K2069</f>
        <v>0</v>
      </c>
      <c r="N2069" s="171"/>
      <c r="R2069" s="391">
        <f t="shared" si="666"/>
        <v>0</v>
      </c>
      <c r="S2069" s="391">
        <f t="shared" si="666"/>
        <v>0</v>
      </c>
      <c r="T2069" s="217"/>
      <c r="U2069" s="391">
        <f t="shared" si="667"/>
        <v>3888.8890000000001</v>
      </c>
      <c r="V2069" s="391">
        <f t="shared" si="667"/>
        <v>0</v>
      </c>
      <c r="W2069" s="203"/>
      <c r="X2069" s="203"/>
    </row>
    <row r="2070" spans="1:24" ht="12" hidden="1" customHeight="1" x14ac:dyDescent="0.2">
      <c r="A2070" s="124" t="s">
        <v>1543</v>
      </c>
      <c r="B2070" s="364">
        <v>961</v>
      </c>
      <c r="C2070" s="353" t="s">
        <v>609</v>
      </c>
      <c r="D2070" s="353" t="s">
        <v>614</v>
      </c>
      <c r="E2070" s="369" t="s">
        <v>1357</v>
      </c>
      <c r="F2070" s="369">
        <v>540</v>
      </c>
      <c r="G2070" s="288"/>
      <c r="H2070" s="288"/>
      <c r="I2070" s="288"/>
      <c r="J2070" s="288"/>
      <c r="K2070" s="264">
        <f t="shared" si="648"/>
        <v>0</v>
      </c>
      <c r="L2070" s="130">
        <f t="shared" si="649"/>
        <v>0</v>
      </c>
      <c r="M2070" s="217">
        <f>I2070-G2070-K2070</f>
        <v>0</v>
      </c>
      <c r="N2070" s="171"/>
      <c r="R2070" s="288"/>
      <c r="S2070" s="288"/>
      <c r="T2070" s="217"/>
      <c r="U2070" s="288">
        <v>3888.8890000000001</v>
      </c>
      <c r="V2070" s="288">
        <v>0</v>
      </c>
      <c r="W2070" s="203"/>
      <c r="X2070" s="203"/>
    </row>
    <row r="2071" spans="1:24" ht="15" x14ac:dyDescent="0.2">
      <c r="A2071" s="741" t="s">
        <v>1715</v>
      </c>
      <c r="B2071" s="392">
        <v>961</v>
      </c>
      <c r="C2071" s="389" t="s">
        <v>609</v>
      </c>
      <c r="D2071" s="389" t="s">
        <v>614</v>
      </c>
      <c r="E2071" s="390">
        <v>8400000000</v>
      </c>
      <c r="F2071" s="390"/>
      <c r="G2071" s="391">
        <f>G2072+G2075+G2078+G2081</f>
        <v>77137.41</v>
      </c>
      <c r="H2071" s="391">
        <f>H2072+H2075+H2078+H2081</f>
        <v>52537.1</v>
      </c>
      <c r="I2071" s="391">
        <f>I2072+I2075+I2078+I2081</f>
        <v>77137.41</v>
      </c>
      <c r="J2071" s="391">
        <f>J2072+J2075+J2078+J2081</f>
        <v>52537.1</v>
      </c>
      <c r="K2071" s="391">
        <f t="shared" si="648"/>
        <v>0</v>
      </c>
      <c r="L2071" s="391">
        <f t="shared" si="649"/>
        <v>0</v>
      </c>
      <c r="M2071" s="217"/>
      <c r="N2071" s="171"/>
      <c r="R2071" s="391">
        <f>R2072+R2075+R2078+R2081</f>
        <v>28612</v>
      </c>
      <c r="S2071" s="391">
        <f>S2072+S2075+S2078+S2081</f>
        <v>0</v>
      </c>
      <c r="T2071" s="217"/>
      <c r="U2071" s="288"/>
      <c r="V2071" s="288"/>
      <c r="W2071" s="203"/>
      <c r="X2071" s="203"/>
    </row>
    <row r="2072" spans="1:24" ht="25.5" x14ac:dyDescent="0.2">
      <c r="A2072" s="741" t="s">
        <v>1619</v>
      </c>
      <c r="B2072" s="392">
        <v>961</v>
      </c>
      <c r="C2072" s="389" t="s">
        <v>609</v>
      </c>
      <c r="D2072" s="389" t="s">
        <v>614</v>
      </c>
      <c r="E2072" s="390">
        <v>8400100000</v>
      </c>
      <c r="F2072" s="390"/>
      <c r="G2072" s="391">
        <f t="shared" ref="G2072:J2073" si="668">G2073</f>
        <v>17517.599999999999</v>
      </c>
      <c r="H2072" s="391">
        <f t="shared" si="668"/>
        <v>0</v>
      </c>
      <c r="I2072" s="391">
        <f t="shared" si="668"/>
        <v>17517.599999999999</v>
      </c>
      <c r="J2072" s="391">
        <f t="shared" si="668"/>
        <v>0</v>
      </c>
      <c r="K2072" s="263">
        <f t="shared" si="648"/>
        <v>0</v>
      </c>
      <c r="L2072" s="127">
        <f t="shared" si="649"/>
        <v>0</v>
      </c>
      <c r="M2072" s="217"/>
      <c r="N2072" s="171"/>
      <c r="R2072" s="391">
        <f>R2073</f>
        <v>17517.599999999999</v>
      </c>
      <c r="S2072" s="391">
        <f>S2073</f>
        <v>0</v>
      </c>
      <c r="T2072" s="217"/>
      <c r="U2072" s="288"/>
      <c r="V2072" s="288"/>
      <c r="W2072" s="203"/>
      <c r="X2072" s="203"/>
    </row>
    <row r="2073" spans="1:24" ht="15" x14ac:dyDescent="0.2">
      <c r="A2073" s="742" t="s">
        <v>1620</v>
      </c>
      <c r="B2073" s="392">
        <v>961</v>
      </c>
      <c r="C2073" s="389" t="s">
        <v>609</v>
      </c>
      <c r="D2073" s="389" t="s">
        <v>614</v>
      </c>
      <c r="E2073" s="515" t="s">
        <v>1439</v>
      </c>
      <c r="F2073" s="390"/>
      <c r="G2073" s="391">
        <f t="shared" si="668"/>
        <v>17517.599999999999</v>
      </c>
      <c r="H2073" s="391">
        <f t="shared" si="668"/>
        <v>0</v>
      </c>
      <c r="I2073" s="391">
        <f t="shared" si="668"/>
        <v>17517.599999999999</v>
      </c>
      <c r="J2073" s="391">
        <f t="shared" si="668"/>
        <v>0</v>
      </c>
      <c r="K2073" s="263">
        <f t="shared" si="648"/>
        <v>0</v>
      </c>
      <c r="L2073" s="127">
        <f t="shared" si="649"/>
        <v>0</v>
      </c>
      <c r="M2073" s="217"/>
      <c r="N2073" s="171"/>
      <c r="R2073" s="391">
        <f>R2074</f>
        <v>17517.599999999999</v>
      </c>
      <c r="S2073" s="391">
        <f>S2074</f>
        <v>0</v>
      </c>
      <c r="T2073" s="217"/>
      <c r="U2073" s="288"/>
      <c r="V2073" s="288"/>
      <c r="W2073" s="203"/>
      <c r="X2073" s="203"/>
    </row>
    <row r="2074" spans="1:24" ht="15" x14ac:dyDescent="0.2">
      <c r="A2074" s="739" t="s">
        <v>1584</v>
      </c>
      <c r="B2074" s="364">
        <v>961</v>
      </c>
      <c r="C2074" s="353" t="s">
        <v>609</v>
      </c>
      <c r="D2074" s="353" t="s">
        <v>614</v>
      </c>
      <c r="E2074" s="369" t="s">
        <v>1439</v>
      </c>
      <c r="F2074" s="369">
        <v>540</v>
      </c>
      <c r="G2074" s="288">
        <f>1751.7+15765.9</f>
        <v>17517.599999999999</v>
      </c>
      <c r="H2074" s="288"/>
      <c r="I2074" s="288">
        <f>1751.7+15765.9</f>
        <v>17517.599999999999</v>
      </c>
      <c r="J2074" s="288"/>
      <c r="K2074" s="264">
        <f t="shared" si="648"/>
        <v>0</v>
      </c>
      <c r="L2074" s="130">
        <f t="shared" si="649"/>
        <v>0</v>
      </c>
      <c r="M2074" s="217"/>
      <c r="N2074" s="171"/>
      <c r="R2074" s="288">
        <v>17517.599999999999</v>
      </c>
      <c r="S2074" s="288">
        <v>0</v>
      </c>
      <c r="T2074" s="217"/>
      <c r="U2074" s="288"/>
      <c r="V2074" s="288"/>
      <c r="W2074" s="203"/>
      <c r="X2074" s="203"/>
    </row>
    <row r="2075" spans="1:24" ht="15" hidden="1" x14ac:dyDescent="0.2">
      <c r="A2075" s="133" t="s">
        <v>1621</v>
      </c>
      <c r="B2075" s="392">
        <v>961</v>
      </c>
      <c r="C2075" s="389" t="s">
        <v>609</v>
      </c>
      <c r="D2075" s="389" t="s">
        <v>614</v>
      </c>
      <c r="E2075" s="390">
        <v>8400200000</v>
      </c>
      <c r="F2075" s="390"/>
      <c r="G2075" s="391">
        <f t="shared" ref="G2075:J2076" si="669">G2076</f>
        <v>0</v>
      </c>
      <c r="H2075" s="391">
        <f t="shared" si="669"/>
        <v>0</v>
      </c>
      <c r="I2075" s="391">
        <f t="shared" si="669"/>
        <v>0</v>
      </c>
      <c r="J2075" s="391">
        <f t="shared" si="669"/>
        <v>0</v>
      </c>
      <c r="K2075" s="263">
        <f t="shared" si="648"/>
        <v>0</v>
      </c>
      <c r="L2075" s="127">
        <f t="shared" si="649"/>
        <v>0</v>
      </c>
      <c r="M2075" s="217"/>
      <c r="N2075" s="171"/>
      <c r="R2075" s="391">
        <f>R2076</f>
        <v>5103.2</v>
      </c>
      <c r="S2075" s="391">
        <f>S2076</f>
        <v>0</v>
      </c>
      <c r="T2075" s="217"/>
      <c r="U2075" s="288"/>
      <c r="V2075" s="288"/>
      <c r="W2075" s="203"/>
      <c r="X2075" s="203"/>
    </row>
    <row r="2076" spans="1:24" ht="15" hidden="1" x14ac:dyDescent="0.2">
      <c r="A2076" s="121" t="s">
        <v>1620</v>
      </c>
      <c r="B2076" s="392">
        <v>961</v>
      </c>
      <c r="C2076" s="389" t="s">
        <v>609</v>
      </c>
      <c r="D2076" s="389" t="s">
        <v>614</v>
      </c>
      <c r="E2076" s="515" t="s">
        <v>1440</v>
      </c>
      <c r="F2076" s="390"/>
      <c r="G2076" s="391">
        <f t="shared" si="669"/>
        <v>0</v>
      </c>
      <c r="H2076" s="391">
        <f t="shared" si="669"/>
        <v>0</v>
      </c>
      <c r="I2076" s="391">
        <f t="shared" si="669"/>
        <v>0</v>
      </c>
      <c r="J2076" s="391">
        <f t="shared" si="669"/>
        <v>0</v>
      </c>
      <c r="K2076" s="263">
        <f t="shared" si="648"/>
        <v>0</v>
      </c>
      <c r="L2076" s="127">
        <f t="shared" si="649"/>
        <v>0</v>
      </c>
      <c r="M2076" s="217"/>
      <c r="N2076" s="171"/>
      <c r="R2076" s="391">
        <f>R2077</f>
        <v>5103.2</v>
      </c>
      <c r="S2076" s="391">
        <f>S2077</f>
        <v>0</v>
      </c>
      <c r="T2076" s="217"/>
      <c r="U2076" s="288"/>
      <c r="V2076" s="288"/>
      <c r="W2076" s="203"/>
      <c r="X2076" s="203"/>
    </row>
    <row r="2077" spans="1:24" ht="15" hidden="1" x14ac:dyDescent="0.2">
      <c r="A2077" s="124" t="s">
        <v>1584</v>
      </c>
      <c r="B2077" s="364">
        <v>961</v>
      </c>
      <c r="C2077" s="353" t="s">
        <v>609</v>
      </c>
      <c r="D2077" s="353" t="s">
        <v>614</v>
      </c>
      <c r="E2077" s="369" t="s">
        <v>1440</v>
      </c>
      <c r="F2077" s="369">
        <v>540</v>
      </c>
      <c r="G2077" s="288"/>
      <c r="H2077" s="288"/>
      <c r="I2077" s="288"/>
      <c r="J2077" s="288"/>
      <c r="K2077" s="264">
        <f t="shared" si="648"/>
        <v>0</v>
      </c>
      <c r="L2077" s="130">
        <f t="shared" si="649"/>
        <v>0</v>
      </c>
      <c r="M2077" s="217"/>
      <c r="N2077" s="171"/>
      <c r="R2077" s="288">
        <v>5103.2</v>
      </c>
      <c r="S2077" s="288">
        <v>0</v>
      </c>
      <c r="T2077" s="217"/>
      <c r="U2077" s="288"/>
      <c r="V2077" s="288"/>
      <c r="W2077" s="203"/>
      <c r="X2077" s="203"/>
    </row>
    <row r="2078" spans="1:24" ht="25.5" x14ac:dyDescent="0.2">
      <c r="A2078" s="741" t="s">
        <v>1622</v>
      </c>
      <c r="B2078" s="392">
        <v>961</v>
      </c>
      <c r="C2078" s="389" t="s">
        <v>609</v>
      </c>
      <c r="D2078" s="389" t="s">
        <v>614</v>
      </c>
      <c r="E2078" s="390">
        <v>8400300000</v>
      </c>
      <c r="F2078" s="390"/>
      <c r="G2078" s="391">
        <f t="shared" ref="G2078:J2079" si="670">G2079</f>
        <v>5991.2000000000007</v>
      </c>
      <c r="H2078" s="391">
        <f t="shared" si="670"/>
        <v>0</v>
      </c>
      <c r="I2078" s="391">
        <f t="shared" si="670"/>
        <v>5991.2000000000007</v>
      </c>
      <c r="J2078" s="391">
        <f t="shared" si="670"/>
        <v>0</v>
      </c>
      <c r="K2078" s="263">
        <f t="shared" si="648"/>
        <v>0</v>
      </c>
      <c r="L2078" s="127">
        <f t="shared" si="649"/>
        <v>0</v>
      </c>
      <c r="M2078" s="217"/>
      <c r="N2078" s="171"/>
      <c r="R2078" s="391">
        <f>R2079</f>
        <v>5991.2</v>
      </c>
      <c r="S2078" s="391">
        <f>S2079</f>
        <v>0</v>
      </c>
      <c r="T2078" s="217"/>
      <c r="U2078" s="288"/>
      <c r="V2078" s="288"/>
      <c r="W2078" s="203"/>
      <c r="X2078" s="203"/>
    </row>
    <row r="2079" spans="1:24" ht="15" x14ac:dyDescent="0.2">
      <c r="A2079" s="742" t="s">
        <v>1620</v>
      </c>
      <c r="B2079" s="392">
        <v>961</v>
      </c>
      <c r="C2079" s="389" t="s">
        <v>609</v>
      </c>
      <c r="D2079" s="389" t="s">
        <v>614</v>
      </c>
      <c r="E2079" s="515" t="s">
        <v>1441</v>
      </c>
      <c r="F2079" s="390"/>
      <c r="G2079" s="391">
        <f t="shared" si="670"/>
        <v>5991.2000000000007</v>
      </c>
      <c r="H2079" s="391">
        <f t="shared" si="670"/>
        <v>0</v>
      </c>
      <c r="I2079" s="391">
        <f t="shared" si="670"/>
        <v>5991.2000000000007</v>
      </c>
      <c r="J2079" s="391">
        <f t="shared" si="670"/>
        <v>0</v>
      </c>
      <c r="K2079" s="263">
        <f t="shared" si="648"/>
        <v>0</v>
      </c>
      <c r="L2079" s="127">
        <f t="shared" si="649"/>
        <v>0</v>
      </c>
      <c r="M2079" s="217"/>
      <c r="N2079" s="171"/>
      <c r="R2079" s="391">
        <f>R2080</f>
        <v>5991.2</v>
      </c>
      <c r="S2079" s="391">
        <f>S2080</f>
        <v>0</v>
      </c>
      <c r="T2079" s="217"/>
      <c r="U2079" s="288"/>
      <c r="V2079" s="288"/>
      <c r="W2079" s="203"/>
      <c r="X2079" s="203"/>
    </row>
    <row r="2080" spans="1:24" ht="15" x14ac:dyDescent="0.2">
      <c r="A2080" s="739" t="s">
        <v>1616</v>
      </c>
      <c r="B2080" s="364">
        <v>961</v>
      </c>
      <c r="C2080" s="353" t="s">
        <v>609</v>
      </c>
      <c r="D2080" s="353" t="s">
        <v>614</v>
      </c>
      <c r="E2080" s="369" t="s">
        <v>1441</v>
      </c>
      <c r="F2080" s="369">
        <v>414</v>
      </c>
      <c r="G2080" s="288">
        <f>5392.1+599.1</f>
        <v>5991.2000000000007</v>
      </c>
      <c r="H2080" s="288"/>
      <c r="I2080" s="288">
        <f>5392.1+599.1</f>
        <v>5991.2000000000007</v>
      </c>
      <c r="J2080" s="288"/>
      <c r="K2080" s="264">
        <f t="shared" si="648"/>
        <v>0</v>
      </c>
      <c r="L2080" s="130">
        <f t="shared" si="649"/>
        <v>0</v>
      </c>
      <c r="M2080" s="217"/>
      <c r="N2080" s="171"/>
      <c r="R2080" s="288">
        <v>5991.2</v>
      </c>
      <c r="S2080" s="288">
        <v>0</v>
      </c>
      <c r="T2080" s="217"/>
      <c r="U2080" s="288"/>
      <c r="V2080" s="288"/>
      <c r="W2080" s="203"/>
      <c r="X2080" s="203"/>
    </row>
    <row r="2081" spans="1:24" ht="15" x14ac:dyDescent="0.2">
      <c r="A2081" s="741" t="s">
        <v>1138</v>
      </c>
      <c r="B2081" s="392">
        <v>961</v>
      </c>
      <c r="C2081" s="389" t="s">
        <v>609</v>
      </c>
      <c r="D2081" s="389" t="s">
        <v>614</v>
      </c>
      <c r="E2081" s="515" t="s">
        <v>1442</v>
      </c>
      <c r="F2081" s="390"/>
      <c r="G2081" s="391">
        <f t="shared" ref="G2081:L2083" si="671">G2082</f>
        <v>53628.61</v>
      </c>
      <c r="H2081" s="391">
        <f t="shared" si="671"/>
        <v>52537.1</v>
      </c>
      <c r="I2081" s="391">
        <f t="shared" si="671"/>
        <v>53628.61</v>
      </c>
      <c r="J2081" s="391">
        <f t="shared" si="671"/>
        <v>52537.1</v>
      </c>
      <c r="K2081" s="391">
        <f t="shared" si="671"/>
        <v>0</v>
      </c>
      <c r="L2081" s="391">
        <f t="shared" si="671"/>
        <v>0</v>
      </c>
      <c r="M2081" s="217"/>
      <c r="N2081" s="171"/>
      <c r="R2081" s="391">
        <f t="shared" ref="R2081:S2083" si="672">R2082</f>
        <v>0</v>
      </c>
      <c r="S2081" s="391">
        <f t="shared" si="672"/>
        <v>0</v>
      </c>
      <c r="T2081" s="217"/>
      <c r="U2081" s="288"/>
      <c r="V2081" s="288"/>
      <c r="W2081" s="203"/>
      <c r="X2081" s="203"/>
    </row>
    <row r="2082" spans="1:24" ht="15" x14ac:dyDescent="0.2">
      <c r="A2082" s="741" t="s">
        <v>1690</v>
      </c>
      <c r="B2082" s="392">
        <v>961</v>
      </c>
      <c r="C2082" s="389" t="s">
        <v>609</v>
      </c>
      <c r="D2082" s="389" t="s">
        <v>614</v>
      </c>
      <c r="E2082" s="515" t="s">
        <v>1443</v>
      </c>
      <c r="F2082" s="390"/>
      <c r="G2082" s="391">
        <f t="shared" si="671"/>
        <v>53628.61</v>
      </c>
      <c r="H2082" s="391">
        <f t="shared" si="671"/>
        <v>52537.1</v>
      </c>
      <c r="I2082" s="391">
        <f t="shared" si="671"/>
        <v>53628.61</v>
      </c>
      <c r="J2082" s="391">
        <f t="shared" si="671"/>
        <v>52537.1</v>
      </c>
      <c r="K2082" s="391">
        <f t="shared" si="671"/>
        <v>0</v>
      </c>
      <c r="L2082" s="391">
        <f t="shared" si="671"/>
        <v>0</v>
      </c>
      <c r="M2082" s="217"/>
      <c r="N2082" s="171"/>
      <c r="R2082" s="391">
        <f t="shared" si="672"/>
        <v>0</v>
      </c>
      <c r="S2082" s="391">
        <f t="shared" si="672"/>
        <v>0</v>
      </c>
      <c r="T2082" s="217"/>
      <c r="U2082" s="288"/>
      <c r="V2082" s="288"/>
      <c r="W2082" s="203"/>
      <c r="X2082" s="203"/>
    </row>
    <row r="2083" spans="1:24" ht="15" x14ac:dyDescent="0.2">
      <c r="A2083" s="741" t="s">
        <v>1691</v>
      </c>
      <c r="B2083" s="392">
        <v>961</v>
      </c>
      <c r="C2083" s="389" t="s">
        <v>609</v>
      </c>
      <c r="D2083" s="389" t="s">
        <v>614</v>
      </c>
      <c r="E2083" s="515" t="s">
        <v>1444</v>
      </c>
      <c r="F2083" s="390"/>
      <c r="G2083" s="391">
        <f t="shared" si="671"/>
        <v>53628.61</v>
      </c>
      <c r="H2083" s="391">
        <f t="shared" si="671"/>
        <v>52537.1</v>
      </c>
      <c r="I2083" s="391">
        <f t="shared" si="671"/>
        <v>53628.61</v>
      </c>
      <c r="J2083" s="391">
        <f t="shared" si="671"/>
        <v>52537.1</v>
      </c>
      <c r="K2083" s="391">
        <f t="shared" si="671"/>
        <v>0</v>
      </c>
      <c r="L2083" s="391">
        <f t="shared" si="671"/>
        <v>0</v>
      </c>
      <c r="M2083" s="217"/>
      <c r="N2083" s="171"/>
      <c r="R2083" s="391">
        <f t="shared" si="672"/>
        <v>0</v>
      </c>
      <c r="S2083" s="391">
        <f t="shared" si="672"/>
        <v>0</v>
      </c>
      <c r="T2083" s="217"/>
      <c r="U2083" s="288"/>
      <c r="V2083" s="288"/>
      <c r="W2083" s="203"/>
      <c r="X2083" s="203"/>
    </row>
    <row r="2084" spans="1:24" ht="15" x14ac:dyDescent="0.2">
      <c r="A2084" s="739" t="s">
        <v>1543</v>
      </c>
      <c r="B2084" s="364">
        <v>961</v>
      </c>
      <c r="C2084" s="353" t="s">
        <v>609</v>
      </c>
      <c r="D2084" s="353" t="s">
        <v>614</v>
      </c>
      <c r="E2084" s="386" t="s">
        <v>1444</v>
      </c>
      <c r="F2084" s="369">
        <v>540</v>
      </c>
      <c r="G2084" s="288">
        <v>53628.61</v>
      </c>
      <c r="H2084" s="288">
        <v>52537.1</v>
      </c>
      <c r="I2084" s="288">
        <v>53628.61</v>
      </c>
      <c r="J2084" s="288">
        <v>52537.1</v>
      </c>
      <c r="K2084" s="264">
        <f t="shared" si="648"/>
        <v>0</v>
      </c>
      <c r="L2084" s="130">
        <f t="shared" si="649"/>
        <v>0</v>
      </c>
      <c r="M2084" s="217"/>
      <c r="N2084" s="171"/>
      <c r="R2084" s="288"/>
      <c r="S2084" s="288"/>
      <c r="T2084" s="217"/>
      <c r="U2084" s="288"/>
      <c r="V2084" s="288"/>
      <c r="W2084" s="203"/>
      <c r="X2084" s="203"/>
    </row>
    <row r="2085" spans="1:24" ht="25.5" hidden="1" x14ac:dyDescent="0.2">
      <c r="A2085" s="121" t="s">
        <v>1205</v>
      </c>
      <c r="B2085" s="363">
        <v>961</v>
      </c>
      <c r="C2085" s="354" t="s">
        <v>609</v>
      </c>
      <c r="D2085" s="354" t="s">
        <v>614</v>
      </c>
      <c r="E2085" s="377">
        <v>8900000000</v>
      </c>
      <c r="F2085" s="620"/>
      <c r="G2085" s="391">
        <f t="shared" ref="G2085:J2087" si="673">G2086</f>
        <v>0</v>
      </c>
      <c r="H2085" s="391">
        <f t="shared" si="673"/>
        <v>0</v>
      </c>
      <c r="I2085" s="391">
        <f t="shared" si="673"/>
        <v>0</v>
      </c>
      <c r="J2085" s="391">
        <f t="shared" si="673"/>
        <v>0</v>
      </c>
      <c r="K2085" s="263">
        <f t="shared" si="648"/>
        <v>0</v>
      </c>
      <c r="L2085" s="127">
        <f t="shared" si="649"/>
        <v>0</v>
      </c>
      <c r="M2085" s="217"/>
      <c r="N2085" s="171"/>
      <c r="R2085" s="288"/>
      <c r="S2085" s="288"/>
      <c r="T2085" s="217"/>
      <c r="U2085" s="288"/>
      <c r="V2085" s="288"/>
      <c r="W2085" s="203"/>
      <c r="X2085" s="203"/>
    </row>
    <row r="2086" spans="1:24" ht="15" hidden="1" x14ac:dyDescent="0.2">
      <c r="A2086" s="121" t="s">
        <v>1284</v>
      </c>
      <c r="B2086" s="363">
        <v>961</v>
      </c>
      <c r="C2086" s="354" t="s">
        <v>609</v>
      </c>
      <c r="D2086" s="354" t="s">
        <v>614</v>
      </c>
      <c r="E2086" s="377">
        <v>8900500000</v>
      </c>
      <c r="F2086" s="620"/>
      <c r="G2086" s="391">
        <f t="shared" si="673"/>
        <v>0</v>
      </c>
      <c r="H2086" s="391">
        <f t="shared" si="673"/>
        <v>0</v>
      </c>
      <c r="I2086" s="391">
        <f t="shared" si="673"/>
        <v>0</v>
      </c>
      <c r="J2086" s="391">
        <f t="shared" si="673"/>
        <v>0</v>
      </c>
      <c r="K2086" s="263">
        <f t="shared" si="648"/>
        <v>0</v>
      </c>
      <c r="L2086" s="127">
        <f t="shared" si="649"/>
        <v>0</v>
      </c>
      <c r="M2086" s="217"/>
      <c r="N2086" s="171"/>
      <c r="R2086" s="288"/>
      <c r="S2086" s="288"/>
      <c r="T2086" s="217"/>
      <c r="U2086" s="288"/>
      <c r="V2086" s="288"/>
      <c r="W2086" s="203"/>
      <c r="X2086" s="203"/>
    </row>
    <row r="2087" spans="1:24" ht="15" hidden="1" x14ac:dyDescent="0.2">
      <c r="A2087" s="121" t="s">
        <v>1285</v>
      </c>
      <c r="B2087" s="363">
        <v>961</v>
      </c>
      <c r="C2087" s="354" t="s">
        <v>609</v>
      </c>
      <c r="D2087" s="354" t="s">
        <v>614</v>
      </c>
      <c r="E2087" s="377" t="s">
        <v>1286</v>
      </c>
      <c r="F2087" s="620"/>
      <c r="G2087" s="391">
        <f t="shared" si="673"/>
        <v>0</v>
      </c>
      <c r="H2087" s="391">
        <f t="shared" si="673"/>
        <v>0</v>
      </c>
      <c r="I2087" s="391">
        <f t="shared" si="673"/>
        <v>0</v>
      </c>
      <c r="J2087" s="391">
        <f t="shared" si="673"/>
        <v>0</v>
      </c>
      <c r="K2087" s="263">
        <f t="shared" si="648"/>
        <v>0</v>
      </c>
      <c r="L2087" s="127">
        <f t="shared" si="649"/>
        <v>0</v>
      </c>
      <c r="M2087" s="217"/>
      <c r="N2087" s="171"/>
      <c r="R2087" s="288"/>
      <c r="S2087" s="288"/>
      <c r="T2087" s="217"/>
      <c r="U2087" s="288"/>
      <c r="V2087" s="288"/>
      <c r="W2087" s="203"/>
      <c r="X2087" s="203"/>
    </row>
    <row r="2088" spans="1:24" ht="15" hidden="1" x14ac:dyDescent="0.2">
      <c r="A2088" s="186" t="s">
        <v>1697</v>
      </c>
      <c r="B2088" s="364">
        <v>961</v>
      </c>
      <c r="C2088" s="353" t="s">
        <v>609</v>
      </c>
      <c r="D2088" s="353" t="s">
        <v>614</v>
      </c>
      <c r="E2088" s="378" t="s">
        <v>1286</v>
      </c>
      <c r="F2088" s="369">
        <v>243</v>
      </c>
      <c r="G2088" s="288">
        <v>0</v>
      </c>
      <c r="H2088" s="288">
        <v>0</v>
      </c>
      <c r="I2088" s="288">
        <v>0</v>
      </c>
      <c r="J2088" s="288">
        <v>0</v>
      </c>
      <c r="K2088" s="264">
        <f t="shared" ref="K2088:K2169" si="674">I2088-G2088</f>
        <v>0</v>
      </c>
      <c r="L2088" s="130">
        <f t="shared" ref="L2088:L2169" si="675">J2088-H2088</f>
        <v>0</v>
      </c>
      <c r="M2088" s="217"/>
      <c r="N2088" s="171"/>
      <c r="R2088" s="288"/>
      <c r="S2088" s="288"/>
      <c r="T2088" s="217"/>
      <c r="U2088" s="288"/>
      <c r="V2088" s="288"/>
      <c r="W2088" s="203"/>
      <c r="X2088" s="203"/>
    </row>
    <row r="2089" spans="1:24" ht="15" x14ac:dyDescent="0.2">
      <c r="A2089" s="746" t="s">
        <v>65</v>
      </c>
      <c r="B2089" s="306" t="s">
        <v>204</v>
      </c>
      <c r="C2089" s="354" t="s">
        <v>609</v>
      </c>
      <c r="D2089" s="354" t="s">
        <v>614</v>
      </c>
      <c r="E2089" s="450" t="s">
        <v>312</v>
      </c>
      <c r="F2089" s="450"/>
      <c r="G2089" s="591">
        <f>G2092+G2100+G2096+G2090</f>
        <v>75</v>
      </c>
      <c r="H2089" s="591">
        <f>H2092+H2100+H2096+H2090</f>
        <v>0</v>
      </c>
      <c r="I2089" s="591">
        <f>I2092+I2100+I2096+I2090</f>
        <v>75</v>
      </c>
      <c r="J2089" s="591">
        <f>J2092+J2100+J2096+J2090</f>
        <v>0</v>
      </c>
      <c r="K2089" s="591">
        <f t="shared" si="674"/>
        <v>0</v>
      </c>
      <c r="L2089" s="591">
        <f t="shared" si="675"/>
        <v>0</v>
      </c>
      <c r="M2089" s="217">
        <f>I2089-G2089-K2089</f>
        <v>0</v>
      </c>
      <c r="N2089" s="170" t="e">
        <f>#REF!+N2100</f>
        <v>#REF!</v>
      </c>
      <c r="R2089" s="591">
        <f>R2092+R2100+R2096+R2090</f>
        <v>229.06307000000001</v>
      </c>
      <c r="S2089" s="591">
        <f>S2092+S2100+S2096+S2090</f>
        <v>0</v>
      </c>
      <c r="T2089" s="217">
        <f>I2089-G2089</f>
        <v>0</v>
      </c>
      <c r="U2089" s="498">
        <f>U2092+U2100+U2096</f>
        <v>12068.16</v>
      </c>
      <c r="V2089" s="498">
        <f>V2092+V2100+V2096</f>
        <v>0</v>
      </c>
      <c r="W2089" s="203">
        <f>G2089-I2089</f>
        <v>0</v>
      </c>
      <c r="X2089" s="203">
        <f>K2089+W2089</f>
        <v>0</v>
      </c>
    </row>
    <row r="2090" spans="1:24" ht="15" x14ac:dyDescent="0.2">
      <c r="A2090" s="746" t="s">
        <v>1909</v>
      </c>
      <c r="B2090" s="306" t="s">
        <v>204</v>
      </c>
      <c r="C2090" s="354" t="s">
        <v>609</v>
      </c>
      <c r="D2090" s="354" t="s">
        <v>614</v>
      </c>
      <c r="E2090" s="582">
        <v>9990023555</v>
      </c>
      <c r="F2090" s="582"/>
      <c r="G2090" s="591">
        <f>G2091</f>
        <v>75</v>
      </c>
      <c r="H2090" s="591">
        <f>H2091</f>
        <v>0</v>
      </c>
      <c r="I2090" s="591">
        <f>I2091</f>
        <v>75</v>
      </c>
      <c r="J2090" s="591">
        <f>J2091</f>
        <v>0</v>
      </c>
      <c r="K2090" s="591">
        <f t="shared" si="674"/>
        <v>0</v>
      </c>
      <c r="L2090" s="591">
        <f t="shared" si="675"/>
        <v>0</v>
      </c>
      <c r="M2090" s="217"/>
      <c r="N2090" s="170"/>
      <c r="R2090" s="591">
        <f>R2091</f>
        <v>145.87110000000001</v>
      </c>
      <c r="S2090" s="591">
        <f>S2091</f>
        <v>0</v>
      </c>
      <c r="T2090" s="217"/>
      <c r="U2090" s="591"/>
      <c r="V2090" s="591"/>
      <c r="W2090" s="203"/>
      <c r="X2090" s="203"/>
    </row>
    <row r="2091" spans="1:24" ht="15" x14ac:dyDescent="0.2">
      <c r="A2091" s="739" t="s">
        <v>1558</v>
      </c>
      <c r="B2091" s="243" t="s">
        <v>204</v>
      </c>
      <c r="C2091" s="353" t="s">
        <v>609</v>
      </c>
      <c r="D2091" s="353" t="s">
        <v>614</v>
      </c>
      <c r="E2091" s="369">
        <v>9990023555</v>
      </c>
      <c r="F2091" s="369">
        <v>244</v>
      </c>
      <c r="G2091" s="288">
        <v>75</v>
      </c>
      <c r="H2091" s="288"/>
      <c r="I2091" s="288">
        <v>75</v>
      </c>
      <c r="J2091" s="288"/>
      <c r="K2091" s="43">
        <f t="shared" si="674"/>
        <v>0</v>
      </c>
      <c r="L2091" s="43">
        <f t="shared" si="675"/>
        <v>0</v>
      </c>
      <c r="M2091" s="217"/>
      <c r="N2091" s="170"/>
      <c r="R2091" s="288">
        <v>145.87110000000001</v>
      </c>
      <c r="S2091" s="288">
        <v>0</v>
      </c>
      <c r="T2091" s="217"/>
      <c r="U2091" s="591"/>
      <c r="V2091" s="591"/>
      <c r="W2091" s="203"/>
      <c r="X2091" s="203"/>
    </row>
    <row r="2092" spans="1:24" ht="15" hidden="1" x14ac:dyDescent="0.2">
      <c r="A2092" s="626" t="s">
        <v>294</v>
      </c>
      <c r="B2092" s="306" t="s">
        <v>204</v>
      </c>
      <c r="C2092" s="354" t="s">
        <v>609</v>
      </c>
      <c r="D2092" s="354" t="s">
        <v>614</v>
      </c>
      <c r="E2092" s="450" t="s">
        <v>692</v>
      </c>
      <c r="F2092" s="450"/>
      <c r="G2092" s="498">
        <f>G2093+G2094+G2095</f>
        <v>0</v>
      </c>
      <c r="H2092" s="498">
        <f>H2093+H2094+H2095</f>
        <v>0</v>
      </c>
      <c r="I2092" s="591">
        <f>I2093+I2094+I2095</f>
        <v>0</v>
      </c>
      <c r="J2092" s="591">
        <f>J2093+J2094+J2095</f>
        <v>0</v>
      </c>
      <c r="K2092" s="591">
        <f t="shared" si="674"/>
        <v>0</v>
      </c>
      <c r="L2092" s="591">
        <f t="shared" si="675"/>
        <v>0</v>
      </c>
      <c r="M2092" s="217">
        <f t="shared" ref="M2092:M2102" si="676">I2092-G2092-K2092</f>
        <v>0</v>
      </c>
      <c r="N2092" s="170"/>
      <c r="R2092" s="591">
        <f>R2093+R2094+R2095</f>
        <v>83.191969999999998</v>
      </c>
      <c r="S2092" s="591">
        <f>S2093+S2094+S2095</f>
        <v>0</v>
      </c>
      <c r="T2092" s="217"/>
      <c r="U2092" s="498">
        <f>U2093+U2094+U2095</f>
        <v>0</v>
      </c>
      <c r="V2092" s="498">
        <f>V2093+V2094+V2095</f>
        <v>0</v>
      </c>
      <c r="W2092" s="203"/>
      <c r="X2092" s="203"/>
    </row>
    <row r="2093" spans="1:24" ht="27.75" hidden="1" customHeight="1" x14ac:dyDescent="0.2">
      <c r="A2093" s="124" t="s">
        <v>1558</v>
      </c>
      <c r="B2093" s="243" t="s">
        <v>204</v>
      </c>
      <c r="C2093" s="353" t="s">
        <v>609</v>
      </c>
      <c r="D2093" s="353" t="s">
        <v>614</v>
      </c>
      <c r="E2093" s="369" t="s">
        <v>692</v>
      </c>
      <c r="F2093" s="369" t="s">
        <v>69</v>
      </c>
      <c r="G2093" s="288">
        <v>0</v>
      </c>
      <c r="H2093" s="288">
        <v>0</v>
      </c>
      <c r="I2093" s="288">
        <v>0</v>
      </c>
      <c r="J2093" s="288">
        <v>0</v>
      </c>
      <c r="K2093" s="43">
        <f t="shared" si="674"/>
        <v>0</v>
      </c>
      <c r="L2093" s="43">
        <f t="shared" si="675"/>
        <v>0</v>
      </c>
      <c r="M2093" s="217">
        <f t="shared" si="676"/>
        <v>0</v>
      </c>
      <c r="N2093" s="170"/>
      <c r="R2093" s="288">
        <v>0</v>
      </c>
      <c r="S2093" s="288">
        <v>0</v>
      </c>
      <c r="T2093" s="217"/>
      <c r="U2093" s="288">
        <v>0</v>
      </c>
      <c r="V2093" s="288">
        <v>0</v>
      </c>
      <c r="W2093" s="203"/>
      <c r="X2093" s="203"/>
    </row>
    <row r="2094" spans="1:24" ht="15" hidden="1" x14ac:dyDescent="0.2">
      <c r="A2094" s="186" t="s">
        <v>834</v>
      </c>
      <c r="B2094" s="243" t="s">
        <v>204</v>
      </c>
      <c r="C2094" s="353" t="s">
        <v>609</v>
      </c>
      <c r="D2094" s="353" t="s">
        <v>614</v>
      </c>
      <c r="E2094" s="369" t="s">
        <v>692</v>
      </c>
      <c r="F2094" s="369" t="s">
        <v>634</v>
      </c>
      <c r="G2094" s="288">
        <v>0</v>
      </c>
      <c r="H2094" s="288"/>
      <c r="I2094" s="288">
        <v>0</v>
      </c>
      <c r="J2094" s="288"/>
      <c r="K2094" s="43">
        <f t="shared" si="674"/>
        <v>0</v>
      </c>
      <c r="L2094" s="43">
        <f t="shared" si="675"/>
        <v>0</v>
      </c>
      <c r="M2094" s="217">
        <f t="shared" si="676"/>
        <v>0</v>
      </c>
      <c r="N2094" s="170"/>
      <c r="R2094" s="288">
        <v>83.191969999999998</v>
      </c>
      <c r="S2094" s="288">
        <v>0</v>
      </c>
      <c r="T2094" s="217"/>
      <c r="U2094" s="288">
        <v>0</v>
      </c>
      <c r="V2094" s="288">
        <v>0</v>
      </c>
      <c r="W2094" s="203"/>
      <c r="X2094" s="203"/>
    </row>
    <row r="2095" spans="1:24" ht="14.25" hidden="1" customHeight="1" x14ac:dyDescent="0.2">
      <c r="A2095" s="124" t="s">
        <v>1543</v>
      </c>
      <c r="B2095" s="243" t="s">
        <v>204</v>
      </c>
      <c r="C2095" s="353" t="s">
        <v>609</v>
      </c>
      <c r="D2095" s="353" t="s">
        <v>614</v>
      </c>
      <c r="E2095" s="369" t="s">
        <v>692</v>
      </c>
      <c r="F2095" s="369" t="s">
        <v>124</v>
      </c>
      <c r="G2095" s="288"/>
      <c r="H2095" s="288"/>
      <c r="I2095" s="288"/>
      <c r="J2095" s="288"/>
      <c r="K2095" s="43">
        <f t="shared" si="674"/>
        <v>0</v>
      </c>
      <c r="L2095" s="43">
        <f t="shared" si="675"/>
        <v>0</v>
      </c>
      <c r="M2095" s="217">
        <f t="shared" si="676"/>
        <v>0</v>
      </c>
      <c r="N2095" s="170"/>
      <c r="R2095" s="288"/>
      <c r="S2095" s="288"/>
      <c r="T2095" s="217"/>
      <c r="U2095" s="288"/>
      <c r="V2095" s="288"/>
      <c r="W2095" s="203"/>
      <c r="X2095" s="203"/>
    </row>
    <row r="2096" spans="1:24" ht="28.5" hidden="1" customHeight="1" x14ac:dyDescent="0.2">
      <c r="A2096" s="541" t="s">
        <v>1543</v>
      </c>
      <c r="B2096" s="306" t="s">
        <v>204</v>
      </c>
      <c r="C2096" s="354" t="s">
        <v>609</v>
      </c>
      <c r="D2096" s="354" t="s">
        <v>614</v>
      </c>
      <c r="E2096" s="450" t="s">
        <v>1290</v>
      </c>
      <c r="F2096" s="450"/>
      <c r="G2096" s="498">
        <f>G2097+G2098+G2099</f>
        <v>0</v>
      </c>
      <c r="H2096" s="498">
        <f>H2097+H2098+H2099</f>
        <v>0</v>
      </c>
      <c r="I2096" s="591">
        <f>I2097+I2098+I2099</f>
        <v>0</v>
      </c>
      <c r="J2096" s="591">
        <f>J2097+J2098+J2099</f>
        <v>0</v>
      </c>
      <c r="K2096" s="591">
        <f t="shared" si="674"/>
        <v>0</v>
      </c>
      <c r="L2096" s="591">
        <f t="shared" si="675"/>
        <v>0</v>
      </c>
      <c r="M2096" s="217">
        <f t="shared" si="676"/>
        <v>0</v>
      </c>
      <c r="N2096" s="178" t="e">
        <f>N2097+#REF!</f>
        <v>#REF!</v>
      </c>
      <c r="R2096" s="591">
        <f>R2097+R2098+R2099</f>
        <v>0</v>
      </c>
      <c r="S2096" s="591">
        <f>S2097+S2098+S2099</f>
        <v>0</v>
      </c>
      <c r="T2096" s="217">
        <f>I2096-G2096</f>
        <v>0</v>
      </c>
      <c r="U2096" s="498">
        <f>U2097+U2098+U2099</f>
        <v>12068.16</v>
      </c>
      <c r="V2096" s="498">
        <f>V2097+V2098+V2099</f>
        <v>0</v>
      </c>
      <c r="W2096" s="203">
        <f>G2096-I2096</f>
        <v>0</v>
      </c>
      <c r="X2096" s="203">
        <f>K2096+W2096</f>
        <v>0</v>
      </c>
    </row>
    <row r="2097" spans="1:24" ht="15" hidden="1" customHeight="1" x14ac:dyDescent="0.2">
      <c r="A2097" s="124" t="s">
        <v>1543</v>
      </c>
      <c r="B2097" s="243" t="s">
        <v>204</v>
      </c>
      <c r="C2097" s="353" t="s">
        <v>609</v>
      </c>
      <c r="D2097" s="353" t="s">
        <v>614</v>
      </c>
      <c r="E2097" s="369" t="s">
        <v>1290</v>
      </c>
      <c r="F2097" s="369" t="s">
        <v>634</v>
      </c>
      <c r="G2097" s="288">
        <v>0</v>
      </c>
      <c r="H2097" s="288">
        <v>0</v>
      </c>
      <c r="I2097" s="288">
        <v>0</v>
      </c>
      <c r="J2097" s="288">
        <v>0</v>
      </c>
      <c r="K2097" s="43">
        <f t="shared" si="674"/>
        <v>0</v>
      </c>
      <c r="L2097" s="43">
        <f t="shared" si="675"/>
        <v>0</v>
      </c>
      <c r="M2097" s="217">
        <f t="shared" si="676"/>
        <v>0</v>
      </c>
      <c r="N2097" s="180"/>
      <c r="R2097" s="288">
        <v>0</v>
      </c>
      <c r="S2097" s="288">
        <v>0</v>
      </c>
      <c r="T2097" s="217">
        <f>I2097-G2097</f>
        <v>0</v>
      </c>
      <c r="U2097" s="288">
        <v>0</v>
      </c>
      <c r="V2097" s="288">
        <v>0</v>
      </c>
      <c r="W2097" s="203">
        <f>G2097-I2097</f>
        <v>0</v>
      </c>
      <c r="X2097" s="203">
        <f>K2097+W2097</f>
        <v>0</v>
      </c>
    </row>
    <row r="2098" spans="1:24" ht="25.5" hidden="1" customHeight="1" x14ac:dyDescent="0.2">
      <c r="A2098" s="124" t="s">
        <v>1543</v>
      </c>
      <c r="B2098" s="243" t="s">
        <v>204</v>
      </c>
      <c r="C2098" s="353" t="s">
        <v>609</v>
      </c>
      <c r="D2098" s="353" t="s">
        <v>614</v>
      </c>
      <c r="E2098" s="369" t="s">
        <v>1290</v>
      </c>
      <c r="F2098" s="369">
        <v>414</v>
      </c>
      <c r="G2098" s="288"/>
      <c r="H2098" s="288"/>
      <c r="I2098" s="288"/>
      <c r="J2098" s="288"/>
      <c r="K2098" s="43">
        <f t="shared" si="674"/>
        <v>0</v>
      </c>
      <c r="L2098" s="43">
        <f t="shared" si="675"/>
        <v>0</v>
      </c>
      <c r="M2098" s="217">
        <f t="shared" si="676"/>
        <v>0</v>
      </c>
      <c r="N2098" s="180"/>
      <c r="R2098" s="288"/>
      <c r="S2098" s="288"/>
      <c r="T2098" s="217">
        <f>I2098-G2098</f>
        <v>0</v>
      </c>
      <c r="U2098" s="288">
        <v>2567.66</v>
      </c>
      <c r="V2098" s="288">
        <v>0</v>
      </c>
      <c r="W2098" s="203">
        <f>G2098-I2098</f>
        <v>0</v>
      </c>
      <c r="X2098" s="203">
        <f>K2098+W2098</f>
        <v>0</v>
      </c>
    </row>
    <row r="2099" spans="1:24" ht="25.5" hidden="1" customHeight="1" x14ac:dyDescent="0.2">
      <c r="A2099" s="124" t="s">
        <v>1543</v>
      </c>
      <c r="B2099" s="243" t="s">
        <v>204</v>
      </c>
      <c r="C2099" s="353" t="s">
        <v>609</v>
      </c>
      <c r="D2099" s="353" t="s">
        <v>614</v>
      </c>
      <c r="E2099" s="369" t="s">
        <v>1290</v>
      </c>
      <c r="F2099" s="369">
        <v>540</v>
      </c>
      <c r="G2099" s="288"/>
      <c r="H2099" s="288"/>
      <c r="I2099" s="288"/>
      <c r="J2099" s="288"/>
      <c r="K2099" s="255">
        <f t="shared" si="674"/>
        <v>0</v>
      </c>
      <c r="L2099" s="43">
        <f t="shared" si="675"/>
        <v>0</v>
      </c>
      <c r="M2099" s="217">
        <f t="shared" si="676"/>
        <v>0</v>
      </c>
      <c r="N2099" s="180"/>
      <c r="R2099" s="288"/>
      <c r="S2099" s="288"/>
      <c r="T2099" s="217"/>
      <c r="U2099" s="288">
        <v>9500.5</v>
      </c>
      <c r="V2099" s="288">
        <v>0</v>
      </c>
      <c r="W2099" s="203"/>
      <c r="X2099" s="203"/>
    </row>
    <row r="2100" spans="1:24" ht="15" hidden="1" x14ac:dyDescent="0.2">
      <c r="A2100" s="451" t="s">
        <v>1543</v>
      </c>
      <c r="B2100" s="306" t="s">
        <v>204</v>
      </c>
      <c r="C2100" s="354" t="s">
        <v>609</v>
      </c>
      <c r="D2100" s="354" t="s">
        <v>614</v>
      </c>
      <c r="E2100" s="450" t="s">
        <v>692</v>
      </c>
      <c r="F2100" s="450"/>
      <c r="G2100" s="498">
        <f>G2101+G2102</f>
        <v>0</v>
      </c>
      <c r="H2100" s="498">
        <f>H2101+H2102</f>
        <v>0</v>
      </c>
      <c r="I2100" s="591">
        <f>I2101+I2102</f>
        <v>0</v>
      </c>
      <c r="J2100" s="591">
        <f>J2101+J2102</f>
        <v>0</v>
      </c>
      <c r="K2100" s="591">
        <f t="shared" si="674"/>
        <v>0</v>
      </c>
      <c r="L2100" s="591">
        <f t="shared" si="675"/>
        <v>0</v>
      </c>
      <c r="M2100" s="217">
        <f t="shared" si="676"/>
        <v>0</v>
      </c>
      <c r="N2100" s="178">
        <f>N2101+N2102</f>
        <v>35</v>
      </c>
      <c r="R2100" s="591">
        <f>R2101+R2102</f>
        <v>0</v>
      </c>
      <c r="S2100" s="591">
        <f>S2101+S2102</f>
        <v>0</v>
      </c>
      <c r="T2100" s="217">
        <f>I2100-G2100</f>
        <v>0</v>
      </c>
      <c r="U2100" s="498">
        <f>U2101+U2102</f>
        <v>0</v>
      </c>
      <c r="V2100" s="498">
        <f>V2101+V2102</f>
        <v>0</v>
      </c>
      <c r="W2100" s="203">
        <f>G2100-I2100</f>
        <v>0</v>
      </c>
      <c r="X2100" s="203">
        <f>K2100+W2100</f>
        <v>0</v>
      </c>
    </row>
    <row r="2101" spans="1:24" ht="15" hidden="1" x14ac:dyDescent="0.2">
      <c r="A2101" s="124" t="s">
        <v>1543</v>
      </c>
      <c r="B2101" s="243" t="s">
        <v>204</v>
      </c>
      <c r="C2101" s="353" t="s">
        <v>609</v>
      </c>
      <c r="D2101" s="353" t="s">
        <v>614</v>
      </c>
      <c r="E2101" s="369" t="s">
        <v>339</v>
      </c>
      <c r="F2101" s="369" t="s">
        <v>69</v>
      </c>
      <c r="G2101" s="288">
        <v>0</v>
      </c>
      <c r="H2101" s="288"/>
      <c r="I2101" s="288">
        <v>0</v>
      </c>
      <c r="J2101" s="288"/>
      <c r="K2101" s="43">
        <f t="shared" si="674"/>
        <v>0</v>
      </c>
      <c r="L2101" s="43">
        <f t="shared" si="675"/>
        <v>0</v>
      </c>
      <c r="M2101" s="217">
        <f t="shared" si="676"/>
        <v>0</v>
      </c>
      <c r="N2101" s="180"/>
      <c r="R2101" s="288">
        <v>0</v>
      </c>
      <c r="S2101" s="288"/>
      <c r="T2101" s="217">
        <f>I2101-G2101</f>
        <v>0</v>
      </c>
      <c r="U2101" s="288">
        <v>0</v>
      </c>
      <c r="V2101" s="288"/>
      <c r="W2101" s="203">
        <f>G2101-I2101</f>
        <v>0</v>
      </c>
      <c r="X2101" s="203">
        <f>K2101+W2101</f>
        <v>0</v>
      </c>
    </row>
    <row r="2102" spans="1:24" ht="15" hidden="1" x14ac:dyDescent="0.2">
      <c r="A2102" s="124" t="s">
        <v>1543</v>
      </c>
      <c r="B2102" s="243" t="s">
        <v>204</v>
      </c>
      <c r="C2102" s="353" t="s">
        <v>609</v>
      </c>
      <c r="D2102" s="353" t="s">
        <v>614</v>
      </c>
      <c r="E2102" s="369" t="s">
        <v>567</v>
      </c>
      <c r="F2102" s="369" t="s">
        <v>44</v>
      </c>
      <c r="G2102" s="288"/>
      <c r="H2102" s="288"/>
      <c r="I2102" s="288"/>
      <c r="J2102" s="288"/>
      <c r="K2102" s="43">
        <f t="shared" si="674"/>
        <v>0</v>
      </c>
      <c r="L2102" s="43">
        <f t="shared" si="675"/>
        <v>0</v>
      </c>
      <c r="M2102" s="217">
        <f t="shared" si="676"/>
        <v>0</v>
      </c>
      <c r="N2102" s="180">
        <v>35</v>
      </c>
      <c r="R2102" s="288"/>
      <c r="S2102" s="288"/>
      <c r="T2102" s="217">
        <f>I2102-G2102</f>
        <v>0</v>
      </c>
      <c r="U2102" s="288"/>
      <c r="V2102" s="288"/>
      <c r="W2102" s="203">
        <f>G2102-I2102</f>
        <v>0</v>
      </c>
      <c r="X2102" s="203">
        <f>K2102+W2102</f>
        <v>0</v>
      </c>
    </row>
    <row r="2103" spans="1:24" ht="15" x14ac:dyDescent="0.2">
      <c r="A2103" s="741" t="s">
        <v>153</v>
      </c>
      <c r="B2103" s="388" t="s">
        <v>204</v>
      </c>
      <c r="C2103" s="389" t="s">
        <v>609</v>
      </c>
      <c r="D2103" s="544" t="s">
        <v>606</v>
      </c>
      <c r="E2103" s="390"/>
      <c r="F2103" s="390"/>
      <c r="G2103" s="391">
        <f>G2133+G2104</f>
        <v>2450</v>
      </c>
      <c r="H2103" s="391">
        <f>H2133+H2104</f>
        <v>0</v>
      </c>
      <c r="I2103" s="391">
        <f>I2133+I2104</f>
        <v>2426.3903</v>
      </c>
      <c r="J2103" s="391">
        <f>J2133+J2104</f>
        <v>0</v>
      </c>
      <c r="K2103" s="391">
        <f t="shared" si="674"/>
        <v>-23.609699999999975</v>
      </c>
      <c r="L2103" s="391">
        <f t="shared" si="675"/>
        <v>0</v>
      </c>
      <c r="M2103" s="217"/>
      <c r="N2103" s="180"/>
      <c r="R2103" s="391">
        <f>R2133</f>
        <v>0</v>
      </c>
      <c r="S2103" s="391">
        <f>S2133</f>
        <v>0</v>
      </c>
      <c r="T2103" s="217"/>
      <c r="U2103" s="288"/>
      <c r="V2103" s="288"/>
      <c r="W2103" s="203"/>
      <c r="X2103" s="203"/>
    </row>
    <row r="2104" spans="1:24" ht="15" x14ac:dyDescent="0.2">
      <c r="A2104" s="742" t="s">
        <v>1710</v>
      </c>
      <c r="B2104" s="388" t="s">
        <v>204</v>
      </c>
      <c r="C2104" s="389" t="s">
        <v>609</v>
      </c>
      <c r="D2104" s="544" t="s">
        <v>606</v>
      </c>
      <c r="E2104" s="390">
        <v>8500000000</v>
      </c>
      <c r="F2104" s="390"/>
      <c r="G2104" s="391">
        <f>G2105</f>
        <v>2450</v>
      </c>
      <c r="H2104" s="391">
        <f>H2105</f>
        <v>0</v>
      </c>
      <c r="I2104" s="391">
        <f>I2105</f>
        <v>2302.0798</v>
      </c>
      <c r="J2104" s="391">
        <f>J2105</f>
        <v>0</v>
      </c>
      <c r="K2104" s="391">
        <f t="shared" si="674"/>
        <v>-147.92020000000002</v>
      </c>
      <c r="L2104" s="391">
        <f t="shared" si="675"/>
        <v>0</v>
      </c>
      <c r="M2104" s="217"/>
      <c r="N2104" s="180"/>
      <c r="R2104" s="391"/>
      <c r="S2104" s="391"/>
      <c r="T2104" s="217"/>
      <c r="U2104" s="288"/>
      <c r="V2104" s="288"/>
      <c r="W2104" s="203"/>
      <c r="X2104" s="203"/>
    </row>
    <row r="2105" spans="1:24" ht="15" x14ac:dyDescent="0.2">
      <c r="A2105" s="742" t="s">
        <v>1711</v>
      </c>
      <c r="B2105" s="388" t="s">
        <v>204</v>
      </c>
      <c r="C2105" s="389" t="s">
        <v>609</v>
      </c>
      <c r="D2105" s="544" t="s">
        <v>606</v>
      </c>
      <c r="E2105" s="390">
        <v>8520000000</v>
      </c>
      <c r="F2105" s="390"/>
      <c r="G2105" s="391">
        <f t="shared" ref="G2105:L2105" si="677">G2111+G2117+G2114+G2120+G2127+G2106+G2130</f>
        <v>2450</v>
      </c>
      <c r="H2105" s="391">
        <f t="shared" si="677"/>
        <v>0</v>
      </c>
      <c r="I2105" s="391">
        <f t="shared" si="677"/>
        <v>2302.0798</v>
      </c>
      <c r="J2105" s="391">
        <f t="shared" si="677"/>
        <v>0</v>
      </c>
      <c r="K2105" s="391">
        <f t="shared" si="677"/>
        <v>-147.92019999999999</v>
      </c>
      <c r="L2105" s="391">
        <f t="shared" si="677"/>
        <v>0</v>
      </c>
      <c r="M2105" s="217"/>
      <c r="N2105" s="180"/>
      <c r="R2105" s="391"/>
      <c r="S2105" s="391"/>
      <c r="T2105" s="217"/>
      <c r="U2105" s="288"/>
      <c r="V2105" s="288"/>
      <c r="W2105" s="203"/>
      <c r="X2105" s="203"/>
    </row>
    <row r="2106" spans="1:24" ht="25.5" x14ac:dyDescent="0.2">
      <c r="A2106" s="741" t="s">
        <v>1872</v>
      </c>
      <c r="B2106" s="388" t="s">
        <v>204</v>
      </c>
      <c r="C2106" s="389" t="s">
        <v>609</v>
      </c>
      <c r="D2106" s="544" t="s">
        <v>606</v>
      </c>
      <c r="E2106" s="390">
        <v>8520200000</v>
      </c>
      <c r="F2106" s="390"/>
      <c r="G2106" s="391">
        <f t="shared" ref="G2106:L2106" si="678">G2107+G2109</f>
        <v>275</v>
      </c>
      <c r="H2106" s="391">
        <f t="shared" si="678"/>
        <v>0</v>
      </c>
      <c r="I2106" s="391">
        <f t="shared" si="678"/>
        <v>200</v>
      </c>
      <c r="J2106" s="391">
        <f t="shared" si="678"/>
        <v>0</v>
      </c>
      <c r="K2106" s="391">
        <f t="shared" si="678"/>
        <v>-75</v>
      </c>
      <c r="L2106" s="391">
        <f t="shared" si="678"/>
        <v>0</v>
      </c>
      <c r="M2106" s="217"/>
      <c r="N2106" s="180"/>
      <c r="R2106" s="391"/>
      <c r="S2106" s="391"/>
      <c r="T2106" s="217"/>
      <c r="U2106" s="288"/>
      <c r="V2106" s="288"/>
      <c r="W2106" s="203"/>
      <c r="X2106" s="203"/>
    </row>
    <row r="2107" spans="1:24" ht="15" hidden="1" x14ac:dyDescent="0.2">
      <c r="A2107" s="121" t="s">
        <v>1709</v>
      </c>
      <c r="B2107" s="388" t="s">
        <v>204</v>
      </c>
      <c r="C2107" s="389" t="s">
        <v>609</v>
      </c>
      <c r="D2107" s="544" t="s">
        <v>606</v>
      </c>
      <c r="E2107" s="390">
        <v>8520282480</v>
      </c>
      <c r="F2107" s="390"/>
      <c r="G2107" s="391">
        <f>G2108</f>
        <v>75</v>
      </c>
      <c r="H2107" s="391">
        <f>H2108</f>
        <v>0</v>
      </c>
      <c r="I2107" s="715">
        <f>I2108</f>
        <v>0</v>
      </c>
      <c r="J2107" s="391">
        <f>J2108</f>
        <v>0</v>
      </c>
      <c r="K2107" s="391">
        <f t="shared" si="674"/>
        <v>-75</v>
      </c>
      <c r="L2107" s="391">
        <f t="shared" si="675"/>
        <v>0</v>
      </c>
      <c r="M2107" s="217"/>
      <c r="N2107" s="180"/>
      <c r="R2107" s="391"/>
      <c r="S2107" s="391"/>
      <c r="T2107" s="217"/>
      <c r="U2107" s="288"/>
      <c r="V2107" s="288"/>
      <c r="W2107" s="203"/>
      <c r="X2107" s="203"/>
    </row>
    <row r="2108" spans="1:24" ht="15" hidden="1" x14ac:dyDescent="0.2">
      <c r="A2108" s="647" t="s">
        <v>834</v>
      </c>
      <c r="B2108" s="516" t="s">
        <v>204</v>
      </c>
      <c r="C2108" s="517" t="s">
        <v>609</v>
      </c>
      <c r="D2108" s="623" t="s">
        <v>606</v>
      </c>
      <c r="E2108" s="523">
        <v>8520282480</v>
      </c>
      <c r="F2108" s="523">
        <v>244</v>
      </c>
      <c r="G2108" s="519">
        <v>75</v>
      </c>
      <c r="H2108" s="519"/>
      <c r="I2108" s="716">
        <v>0</v>
      </c>
      <c r="J2108" s="519"/>
      <c r="K2108" s="391">
        <f t="shared" si="674"/>
        <v>-75</v>
      </c>
      <c r="L2108" s="391">
        <f t="shared" si="675"/>
        <v>0</v>
      </c>
      <c r="M2108" s="217"/>
      <c r="N2108" s="180"/>
      <c r="R2108" s="391"/>
      <c r="S2108" s="391"/>
      <c r="T2108" s="217"/>
      <c r="U2108" s="288"/>
      <c r="V2108" s="288"/>
      <c r="W2108" s="203"/>
      <c r="X2108" s="203"/>
    </row>
    <row r="2109" spans="1:24" ht="15" x14ac:dyDescent="0.2">
      <c r="A2109" s="741" t="s">
        <v>294</v>
      </c>
      <c r="B2109" s="388" t="s">
        <v>204</v>
      </c>
      <c r="C2109" s="389" t="s">
        <v>609</v>
      </c>
      <c r="D2109" s="543" t="s">
        <v>606</v>
      </c>
      <c r="E2109" s="515" t="s">
        <v>1965</v>
      </c>
      <c r="F2109" s="390"/>
      <c r="G2109" s="391">
        <f t="shared" ref="G2109:L2109" si="679">G2110</f>
        <v>200</v>
      </c>
      <c r="H2109" s="391">
        <f t="shared" si="679"/>
        <v>0</v>
      </c>
      <c r="I2109" s="391">
        <f t="shared" si="679"/>
        <v>200</v>
      </c>
      <c r="J2109" s="391">
        <f t="shared" si="679"/>
        <v>0</v>
      </c>
      <c r="K2109" s="391">
        <f t="shared" si="679"/>
        <v>0</v>
      </c>
      <c r="L2109" s="391">
        <f t="shared" si="679"/>
        <v>0</v>
      </c>
      <c r="M2109" s="217"/>
      <c r="N2109" s="180"/>
      <c r="R2109" s="391"/>
      <c r="S2109" s="391"/>
      <c r="T2109" s="217"/>
      <c r="U2109" s="288"/>
      <c r="V2109" s="288"/>
      <c r="W2109" s="203"/>
      <c r="X2109" s="203"/>
    </row>
    <row r="2110" spans="1:24" ht="15" x14ac:dyDescent="0.2">
      <c r="A2110" s="751" t="s">
        <v>164</v>
      </c>
      <c r="B2110" s="516" t="s">
        <v>204</v>
      </c>
      <c r="C2110" s="517" t="s">
        <v>609</v>
      </c>
      <c r="D2110" s="623" t="s">
        <v>606</v>
      </c>
      <c r="E2110" s="523" t="s">
        <v>1965</v>
      </c>
      <c r="F2110" s="523">
        <v>540</v>
      </c>
      <c r="G2110" s="519">
        <v>200</v>
      </c>
      <c r="H2110" s="519"/>
      <c r="I2110" s="519">
        <v>200</v>
      </c>
      <c r="J2110" s="519"/>
      <c r="K2110" s="391">
        <f>I2110-G2110</f>
        <v>0</v>
      </c>
      <c r="L2110" s="391">
        <f>J2110-H2110</f>
        <v>0</v>
      </c>
      <c r="M2110" s="217"/>
      <c r="N2110" s="180"/>
      <c r="R2110" s="391"/>
      <c r="S2110" s="391"/>
      <c r="T2110" s="217"/>
      <c r="U2110" s="288"/>
      <c r="V2110" s="288"/>
      <c r="W2110" s="203"/>
      <c r="X2110" s="203"/>
    </row>
    <row r="2111" spans="1:24" ht="15" hidden="1" x14ac:dyDescent="0.2">
      <c r="A2111" s="133" t="s">
        <v>1712</v>
      </c>
      <c r="B2111" s="388" t="s">
        <v>204</v>
      </c>
      <c r="C2111" s="389" t="s">
        <v>609</v>
      </c>
      <c r="D2111" s="544" t="s">
        <v>606</v>
      </c>
      <c r="E2111" s="390">
        <v>8520300000</v>
      </c>
      <c r="F2111" s="390"/>
      <c r="G2111" s="391">
        <f t="shared" ref="G2111:J2112" si="680">G2112</f>
        <v>50</v>
      </c>
      <c r="H2111" s="391">
        <f t="shared" si="680"/>
        <v>0</v>
      </c>
      <c r="I2111" s="715">
        <f t="shared" si="680"/>
        <v>0</v>
      </c>
      <c r="J2111" s="391">
        <f t="shared" si="680"/>
        <v>0</v>
      </c>
      <c r="K2111" s="391">
        <f t="shared" si="674"/>
        <v>-50</v>
      </c>
      <c r="L2111" s="391">
        <f t="shared" si="675"/>
        <v>0</v>
      </c>
      <c r="M2111" s="217"/>
      <c r="N2111" s="180"/>
      <c r="R2111" s="391"/>
      <c r="S2111" s="391"/>
      <c r="T2111" s="217"/>
      <c r="U2111" s="288"/>
      <c r="V2111" s="288"/>
      <c r="W2111" s="203"/>
      <c r="X2111" s="203"/>
    </row>
    <row r="2112" spans="1:24" ht="15" hidden="1" x14ac:dyDescent="0.2">
      <c r="A2112" s="121" t="s">
        <v>1709</v>
      </c>
      <c r="B2112" s="388" t="s">
        <v>204</v>
      </c>
      <c r="C2112" s="389" t="s">
        <v>609</v>
      </c>
      <c r="D2112" s="544" t="s">
        <v>606</v>
      </c>
      <c r="E2112" s="390">
        <v>8520382480</v>
      </c>
      <c r="F2112" s="390"/>
      <c r="G2112" s="391">
        <f t="shared" si="680"/>
        <v>50</v>
      </c>
      <c r="H2112" s="391">
        <f t="shared" si="680"/>
        <v>0</v>
      </c>
      <c r="I2112" s="715">
        <f t="shared" si="680"/>
        <v>0</v>
      </c>
      <c r="J2112" s="391">
        <f t="shared" si="680"/>
        <v>0</v>
      </c>
      <c r="K2112" s="391">
        <f t="shared" si="674"/>
        <v>-50</v>
      </c>
      <c r="L2112" s="391">
        <f t="shared" si="675"/>
        <v>0</v>
      </c>
      <c r="M2112" s="217"/>
      <c r="N2112" s="180"/>
      <c r="R2112" s="391"/>
      <c r="S2112" s="391"/>
      <c r="T2112" s="217"/>
      <c r="U2112" s="288"/>
      <c r="V2112" s="288"/>
      <c r="W2112" s="203"/>
      <c r="X2112" s="203"/>
    </row>
    <row r="2113" spans="1:24" ht="15" hidden="1" x14ac:dyDescent="0.2">
      <c r="A2113" s="612" t="s">
        <v>834</v>
      </c>
      <c r="B2113" s="516" t="s">
        <v>204</v>
      </c>
      <c r="C2113" s="517" t="s">
        <v>609</v>
      </c>
      <c r="D2113" s="623" t="s">
        <v>606</v>
      </c>
      <c r="E2113" s="523">
        <v>8520382480</v>
      </c>
      <c r="F2113" s="523">
        <v>244</v>
      </c>
      <c r="G2113" s="519">
        <v>50</v>
      </c>
      <c r="H2113" s="519"/>
      <c r="I2113" s="716">
        <v>0</v>
      </c>
      <c r="J2113" s="519"/>
      <c r="K2113" s="391">
        <f t="shared" si="674"/>
        <v>-50</v>
      </c>
      <c r="L2113" s="391">
        <f t="shared" si="675"/>
        <v>0</v>
      </c>
      <c r="M2113" s="217"/>
      <c r="N2113" s="180"/>
      <c r="R2113" s="391"/>
      <c r="S2113" s="391"/>
      <c r="T2113" s="217"/>
      <c r="U2113" s="288"/>
      <c r="V2113" s="288"/>
      <c r="W2113" s="203"/>
      <c r="X2113" s="203"/>
    </row>
    <row r="2114" spans="1:24" ht="25.5" hidden="1" x14ac:dyDescent="0.2">
      <c r="A2114" s="133" t="s">
        <v>1869</v>
      </c>
      <c r="B2114" s="388" t="s">
        <v>204</v>
      </c>
      <c r="C2114" s="389" t="s">
        <v>609</v>
      </c>
      <c r="D2114" s="544" t="s">
        <v>606</v>
      </c>
      <c r="E2114" s="390">
        <v>8520400000</v>
      </c>
      <c r="F2114" s="390"/>
      <c r="G2114" s="391">
        <f t="shared" ref="G2114:J2115" si="681">G2115</f>
        <v>0</v>
      </c>
      <c r="H2114" s="391">
        <f t="shared" si="681"/>
        <v>0</v>
      </c>
      <c r="I2114" s="391">
        <f t="shared" si="681"/>
        <v>0</v>
      </c>
      <c r="J2114" s="391">
        <f t="shared" si="681"/>
        <v>0</v>
      </c>
      <c r="K2114" s="391">
        <f t="shared" si="674"/>
        <v>0</v>
      </c>
      <c r="L2114" s="391">
        <f t="shared" si="675"/>
        <v>0</v>
      </c>
      <c r="M2114" s="217"/>
      <c r="N2114" s="180"/>
      <c r="R2114" s="391"/>
      <c r="S2114" s="391"/>
      <c r="T2114" s="217"/>
      <c r="U2114" s="288"/>
      <c r="V2114" s="288"/>
      <c r="W2114" s="203"/>
      <c r="X2114" s="203"/>
    </row>
    <row r="2115" spans="1:24" ht="15" hidden="1" x14ac:dyDescent="0.2">
      <c r="A2115" s="121" t="s">
        <v>1709</v>
      </c>
      <c r="B2115" s="388" t="s">
        <v>204</v>
      </c>
      <c r="C2115" s="389" t="s">
        <v>609</v>
      </c>
      <c r="D2115" s="544" t="s">
        <v>606</v>
      </c>
      <c r="E2115" s="390">
        <v>8520482480</v>
      </c>
      <c r="F2115" s="390"/>
      <c r="G2115" s="391">
        <f t="shared" si="681"/>
        <v>0</v>
      </c>
      <c r="H2115" s="391">
        <f t="shared" si="681"/>
        <v>0</v>
      </c>
      <c r="I2115" s="391">
        <f t="shared" si="681"/>
        <v>0</v>
      </c>
      <c r="J2115" s="391">
        <f t="shared" si="681"/>
        <v>0</v>
      </c>
      <c r="K2115" s="391">
        <f t="shared" si="674"/>
        <v>0</v>
      </c>
      <c r="L2115" s="391">
        <f t="shared" si="675"/>
        <v>0</v>
      </c>
      <c r="M2115" s="217"/>
      <c r="N2115" s="180"/>
      <c r="R2115" s="391"/>
      <c r="S2115" s="391"/>
      <c r="T2115" s="217"/>
      <c r="U2115" s="288"/>
      <c r="V2115" s="288"/>
      <c r="W2115" s="203"/>
      <c r="X2115" s="203"/>
    </row>
    <row r="2116" spans="1:24" ht="15" hidden="1" x14ac:dyDescent="0.2">
      <c r="A2116" s="647" t="s">
        <v>834</v>
      </c>
      <c r="B2116" s="516" t="s">
        <v>204</v>
      </c>
      <c r="C2116" s="517" t="s">
        <v>609</v>
      </c>
      <c r="D2116" s="623" t="s">
        <v>606</v>
      </c>
      <c r="E2116" s="523">
        <v>8520482480</v>
      </c>
      <c r="F2116" s="523">
        <v>244</v>
      </c>
      <c r="G2116" s="519">
        <v>0</v>
      </c>
      <c r="H2116" s="519"/>
      <c r="I2116" s="519">
        <v>0</v>
      </c>
      <c r="J2116" s="519"/>
      <c r="K2116" s="391">
        <f t="shared" si="674"/>
        <v>0</v>
      </c>
      <c r="L2116" s="391">
        <f t="shared" si="675"/>
        <v>0</v>
      </c>
      <c r="M2116" s="217"/>
      <c r="N2116" s="180"/>
      <c r="R2116" s="391"/>
      <c r="S2116" s="391"/>
      <c r="T2116" s="217"/>
      <c r="U2116" s="288"/>
      <c r="V2116" s="288"/>
      <c r="W2116" s="203"/>
      <c r="X2116" s="203"/>
    </row>
    <row r="2117" spans="1:24" ht="15" x14ac:dyDescent="0.2">
      <c r="A2117" s="741" t="s">
        <v>1713</v>
      </c>
      <c r="B2117" s="388" t="s">
        <v>204</v>
      </c>
      <c r="C2117" s="389" t="s">
        <v>609</v>
      </c>
      <c r="D2117" s="544" t="s">
        <v>606</v>
      </c>
      <c r="E2117" s="390">
        <v>8520500000</v>
      </c>
      <c r="F2117" s="390"/>
      <c r="G2117" s="391">
        <f t="shared" ref="G2117:J2118" si="682">G2118</f>
        <v>50</v>
      </c>
      <c r="H2117" s="391">
        <f t="shared" si="682"/>
        <v>0</v>
      </c>
      <c r="I2117" s="391">
        <f t="shared" si="682"/>
        <v>27.079799999999999</v>
      </c>
      <c r="J2117" s="391">
        <f t="shared" si="682"/>
        <v>0</v>
      </c>
      <c r="K2117" s="391">
        <f t="shared" si="674"/>
        <v>-22.920200000000001</v>
      </c>
      <c r="L2117" s="391">
        <f t="shared" si="675"/>
        <v>0</v>
      </c>
      <c r="M2117" s="217"/>
      <c r="N2117" s="180"/>
      <c r="R2117" s="391"/>
      <c r="S2117" s="391"/>
      <c r="T2117" s="217"/>
      <c r="U2117" s="288"/>
      <c r="V2117" s="288"/>
      <c r="W2117" s="203"/>
      <c r="X2117" s="203"/>
    </row>
    <row r="2118" spans="1:24" ht="15" x14ac:dyDescent="0.2">
      <c r="A2118" s="742" t="s">
        <v>1709</v>
      </c>
      <c r="B2118" s="388" t="s">
        <v>204</v>
      </c>
      <c r="C2118" s="389" t="s">
        <v>609</v>
      </c>
      <c r="D2118" s="544" t="s">
        <v>606</v>
      </c>
      <c r="E2118" s="390">
        <v>8520582480</v>
      </c>
      <c r="F2118" s="390"/>
      <c r="G2118" s="391">
        <f t="shared" si="682"/>
        <v>50</v>
      </c>
      <c r="H2118" s="391">
        <f t="shared" si="682"/>
        <v>0</v>
      </c>
      <c r="I2118" s="391">
        <f t="shared" si="682"/>
        <v>27.079799999999999</v>
      </c>
      <c r="J2118" s="391">
        <f t="shared" si="682"/>
        <v>0</v>
      </c>
      <c r="K2118" s="391">
        <f t="shared" si="674"/>
        <v>-22.920200000000001</v>
      </c>
      <c r="L2118" s="391">
        <f t="shared" si="675"/>
        <v>0</v>
      </c>
      <c r="M2118" s="217"/>
      <c r="N2118" s="180"/>
      <c r="R2118" s="391"/>
      <c r="S2118" s="391"/>
      <c r="T2118" s="217"/>
      <c r="U2118" s="288"/>
      <c r="V2118" s="288"/>
      <c r="W2118" s="203"/>
      <c r="X2118" s="203"/>
    </row>
    <row r="2119" spans="1:24" ht="15" x14ac:dyDescent="0.2">
      <c r="A2119" s="751" t="s">
        <v>834</v>
      </c>
      <c r="B2119" s="516" t="s">
        <v>204</v>
      </c>
      <c r="C2119" s="517" t="s">
        <v>609</v>
      </c>
      <c r="D2119" s="623" t="s">
        <v>606</v>
      </c>
      <c r="E2119" s="523">
        <v>8520582480</v>
      </c>
      <c r="F2119" s="523">
        <v>244</v>
      </c>
      <c r="G2119" s="519">
        <v>50</v>
      </c>
      <c r="H2119" s="519"/>
      <c r="I2119" s="519">
        <v>27.079799999999999</v>
      </c>
      <c r="J2119" s="519"/>
      <c r="K2119" s="391">
        <f t="shared" si="674"/>
        <v>-22.920200000000001</v>
      </c>
      <c r="L2119" s="391">
        <f t="shared" si="675"/>
        <v>0</v>
      </c>
      <c r="M2119" s="217"/>
      <c r="N2119" s="180"/>
      <c r="R2119" s="391"/>
      <c r="S2119" s="391"/>
      <c r="T2119" s="217"/>
      <c r="U2119" s="288"/>
      <c r="V2119" s="288"/>
      <c r="W2119" s="203"/>
      <c r="X2119" s="203"/>
    </row>
    <row r="2120" spans="1:24" ht="15" x14ac:dyDescent="0.2">
      <c r="A2120" s="741" t="s">
        <v>1870</v>
      </c>
      <c r="B2120" s="388" t="s">
        <v>204</v>
      </c>
      <c r="C2120" s="389" t="s">
        <v>609</v>
      </c>
      <c r="D2120" s="544" t="s">
        <v>606</v>
      </c>
      <c r="E2120" s="390">
        <v>8520600000</v>
      </c>
      <c r="F2120" s="390"/>
      <c r="G2120" s="391">
        <f t="shared" ref="G2120:L2120" si="683">G2121+G2123+G2125</f>
        <v>1610</v>
      </c>
      <c r="H2120" s="391">
        <f t="shared" si="683"/>
        <v>0</v>
      </c>
      <c r="I2120" s="391">
        <f t="shared" si="683"/>
        <v>1610</v>
      </c>
      <c r="J2120" s="391">
        <f t="shared" si="683"/>
        <v>0</v>
      </c>
      <c r="K2120" s="391">
        <f t="shared" si="683"/>
        <v>0</v>
      </c>
      <c r="L2120" s="391">
        <f t="shared" si="683"/>
        <v>0</v>
      </c>
      <c r="M2120" s="217"/>
      <c r="N2120" s="180"/>
      <c r="R2120" s="391"/>
      <c r="S2120" s="391"/>
      <c r="T2120" s="217"/>
      <c r="U2120" s="288"/>
      <c r="V2120" s="288"/>
      <c r="W2120" s="203"/>
      <c r="X2120" s="203"/>
    </row>
    <row r="2121" spans="1:24" ht="15" x14ac:dyDescent="0.2">
      <c r="A2121" s="742" t="s">
        <v>1709</v>
      </c>
      <c r="B2121" s="388" t="s">
        <v>204</v>
      </c>
      <c r="C2121" s="389" t="s">
        <v>609</v>
      </c>
      <c r="D2121" s="544" t="s">
        <v>606</v>
      </c>
      <c r="E2121" s="390">
        <v>8520682480</v>
      </c>
      <c r="F2121" s="390"/>
      <c r="G2121" s="391">
        <f>G2122</f>
        <v>10</v>
      </c>
      <c r="H2121" s="391">
        <f>H2122</f>
        <v>0</v>
      </c>
      <c r="I2121" s="391">
        <f>I2122</f>
        <v>10</v>
      </c>
      <c r="J2121" s="391">
        <f>J2122</f>
        <v>0</v>
      </c>
      <c r="K2121" s="391">
        <f t="shared" si="674"/>
        <v>0</v>
      </c>
      <c r="L2121" s="391">
        <f t="shared" si="675"/>
        <v>0</v>
      </c>
      <c r="M2121" s="217"/>
      <c r="N2121" s="180"/>
      <c r="R2121" s="391"/>
      <c r="S2121" s="391"/>
      <c r="T2121" s="217"/>
      <c r="U2121" s="288"/>
      <c r="V2121" s="288"/>
      <c r="W2121" s="203"/>
      <c r="X2121" s="203"/>
    </row>
    <row r="2122" spans="1:24" ht="15" x14ac:dyDescent="0.2">
      <c r="A2122" s="751" t="s">
        <v>834</v>
      </c>
      <c r="B2122" s="516" t="s">
        <v>204</v>
      </c>
      <c r="C2122" s="517" t="s">
        <v>609</v>
      </c>
      <c r="D2122" s="623" t="s">
        <v>606</v>
      </c>
      <c r="E2122" s="523">
        <v>8520682480</v>
      </c>
      <c r="F2122" s="523">
        <v>244</v>
      </c>
      <c r="G2122" s="519">
        <v>10</v>
      </c>
      <c r="H2122" s="519"/>
      <c r="I2122" s="519">
        <v>10</v>
      </c>
      <c r="J2122" s="519"/>
      <c r="K2122" s="391">
        <f t="shared" si="674"/>
        <v>0</v>
      </c>
      <c r="L2122" s="391">
        <f t="shared" si="675"/>
        <v>0</v>
      </c>
      <c r="M2122" s="217"/>
      <c r="N2122" s="180"/>
      <c r="R2122" s="391"/>
      <c r="S2122" s="391"/>
      <c r="T2122" s="217"/>
      <c r="U2122" s="288"/>
      <c r="V2122" s="288"/>
      <c r="W2122" s="203"/>
      <c r="X2122" s="203"/>
    </row>
    <row r="2123" spans="1:24" ht="25.5" x14ac:dyDescent="0.2">
      <c r="A2123" s="742" t="s">
        <v>1011</v>
      </c>
      <c r="B2123" s="388" t="s">
        <v>204</v>
      </c>
      <c r="C2123" s="389" t="s">
        <v>609</v>
      </c>
      <c r="D2123" s="544" t="s">
        <v>606</v>
      </c>
      <c r="E2123" s="515">
        <v>8520682110</v>
      </c>
      <c r="F2123" s="390"/>
      <c r="G2123" s="391">
        <f>G2124</f>
        <v>1000</v>
      </c>
      <c r="H2123" s="391">
        <f>H2124</f>
        <v>0</v>
      </c>
      <c r="I2123" s="391">
        <f>I2124</f>
        <v>1000</v>
      </c>
      <c r="J2123" s="391">
        <f>J2124</f>
        <v>0</v>
      </c>
      <c r="K2123" s="391">
        <f>I2123-G2123</f>
        <v>0</v>
      </c>
      <c r="L2123" s="391">
        <f>J2123-H2123</f>
        <v>0</v>
      </c>
      <c r="M2123" s="217"/>
      <c r="N2123" s="180"/>
      <c r="R2123" s="391"/>
      <c r="S2123" s="391"/>
      <c r="T2123" s="217"/>
      <c r="U2123" s="288"/>
      <c r="V2123" s="288"/>
      <c r="W2123" s="203"/>
      <c r="X2123" s="203"/>
    </row>
    <row r="2124" spans="1:24" ht="15" x14ac:dyDescent="0.2">
      <c r="A2124" s="751" t="s">
        <v>126</v>
      </c>
      <c r="B2124" s="243" t="s">
        <v>204</v>
      </c>
      <c r="C2124" s="353" t="s">
        <v>609</v>
      </c>
      <c r="D2124" s="490" t="s">
        <v>606</v>
      </c>
      <c r="E2124" s="369">
        <v>8520682110</v>
      </c>
      <c r="F2124" s="369">
        <v>465</v>
      </c>
      <c r="G2124" s="288">
        <v>1000</v>
      </c>
      <c r="H2124" s="288"/>
      <c r="I2124" s="288">
        <v>1000</v>
      </c>
      <c r="J2124" s="288"/>
      <c r="K2124" s="43">
        <f>I2124-G2124</f>
        <v>0</v>
      </c>
      <c r="L2124" s="43">
        <f>J2124-H2124</f>
        <v>0</v>
      </c>
      <c r="M2124" s="217"/>
      <c r="N2124" s="180"/>
      <c r="R2124" s="391"/>
      <c r="S2124" s="391"/>
      <c r="T2124" s="217"/>
      <c r="U2124" s="288"/>
      <c r="V2124" s="288"/>
      <c r="W2124" s="203"/>
      <c r="X2124" s="203"/>
    </row>
    <row r="2125" spans="1:24" ht="15" x14ac:dyDescent="0.2">
      <c r="A2125" s="741" t="s">
        <v>294</v>
      </c>
      <c r="B2125" s="388" t="s">
        <v>204</v>
      </c>
      <c r="C2125" s="389" t="s">
        <v>609</v>
      </c>
      <c r="D2125" s="544" t="s">
        <v>606</v>
      </c>
      <c r="E2125" s="515" t="s">
        <v>1966</v>
      </c>
      <c r="F2125" s="390"/>
      <c r="G2125" s="391">
        <f t="shared" ref="G2125:L2125" si="684">G2126</f>
        <v>600</v>
      </c>
      <c r="H2125" s="391">
        <f t="shared" si="684"/>
        <v>0</v>
      </c>
      <c r="I2125" s="391">
        <f t="shared" si="684"/>
        <v>600</v>
      </c>
      <c r="J2125" s="391">
        <f t="shared" si="684"/>
        <v>0</v>
      </c>
      <c r="K2125" s="391">
        <f t="shared" si="684"/>
        <v>0</v>
      </c>
      <c r="L2125" s="391">
        <f t="shared" si="684"/>
        <v>0</v>
      </c>
      <c r="M2125" s="217"/>
      <c r="N2125" s="180"/>
      <c r="R2125" s="391"/>
      <c r="S2125" s="391"/>
      <c r="T2125" s="217"/>
      <c r="U2125" s="288"/>
      <c r="V2125" s="288"/>
      <c r="W2125" s="203"/>
      <c r="X2125" s="203"/>
    </row>
    <row r="2126" spans="1:24" ht="15" x14ac:dyDescent="0.2">
      <c r="A2126" s="751" t="s">
        <v>164</v>
      </c>
      <c r="B2126" s="243" t="s">
        <v>204</v>
      </c>
      <c r="C2126" s="353" t="s">
        <v>609</v>
      </c>
      <c r="D2126" s="490" t="s">
        <v>606</v>
      </c>
      <c r="E2126" s="369" t="s">
        <v>1966</v>
      </c>
      <c r="F2126" s="369">
        <v>540</v>
      </c>
      <c r="G2126" s="288">
        <v>600</v>
      </c>
      <c r="H2126" s="288"/>
      <c r="I2126" s="288">
        <v>600</v>
      </c>
      <c r="J2126" s="288"/>
      <c r="K2126" s="43">
        <f>I2126-G2126</f>
        <v>0</v>
      </c>
      <c r="L2126" s="43">
        <f>J2126-H2126</f>
        <v>0</v>
      </c>
      <c r="M2126" s="217"/>
      <c r="N2126" s="180"/>
      <c r="R2126" s="391"/>
      <c r="S2126" s="391"/>
      <c r="T2126" s="217"/>
      <c r="U2126" s="288"/>
      <c r="V2126" s="288"/>
      <c r="W2126" s="203"/>
      <c r="X2126" s="203"/>
    </row>
    <row r="2127" spans="1:24" ht="15" x14ac:dyDescent="0.2">
      <c r="A2127" s="741" t="s">
        <v>1871</v>
      </c>
      <c r="B2127" s="388" t="s">
        <v>204</v>
      </c>
      <c r="C2127" s="389" t="s">
        <v>609</v>
      </c>
      <c r="D2127" s="544" t="s">
        <v>606</v>
      </c>
      <c r="E2127" s="390">
        <v>8520800000</v>
      </c>
      <c r="F2127" s="390"/>
      <c r="G2127" s="391">
        <f t="shared" ref="G2127:J2128" si="685">G2128</f>
        <v>65</v>
      </c>
      <c r="H2127" s="391">
        <f t="shared" si="685"/>
        <v>0</v>
      </c>
      <c r="I2127" s="391">
        <f t="shared" si="685"/>
        <v>65</v>
      </c>
      <c r="J2127" s="391">
        <f t="shared" si="685"/>
        <v>0</v>
      </c>
      <c r="K2127" s="391">
        <f t="shared" si="674"/>
        <v>0</v>
      </c>
      <c r="L2127" s="391">
        <f t="shared" si="675"/>
        <v>0</v>
      </c>
      <c r="M2127" s="217"/>
      <c r="N2127" s="180"/>
      <c r="R2127" s="391"/>
      <c r="S2127" s="391"/>
      <c r="T2127" s="217"/>
      <c r="U2127" s="288"/>
      <c r="V2127" s="288"/>
      <c r="W2127" s="203"/>
      <c r="X2127" s="203"/>
    </row>
    <row r="2128" spans="1:24" ht="15" x14ac:dyDescent="0.2">
      <c r="A2128" s="742" t="s">
        <v>1709</v>
      </c>
      <c r="B2128" s="388" t="s">
        <v>204</v>
      </c>
      <c r="C2128" s="389" t="s">
        <v>609</v>
      </c>
      <c r="D2128" s="544" t="s">
        <v>606</v>
      </c>
      <c r="E2128" s="390">
        <v>8520882480</v>
      </c>
      <c r="F2128" s="390"/>
      <c r="G2128" s="391">
        <f t="shared" si="685"/>
        <v>65</v>
      </c>
      <c r="H2128" s="391">
        <f t="shared" si="685"/>
        <v>0</v>
      </c>
      <c r="I2128" s="391">
        <f t="shared" si="685"/>
        <v>65</v>
      </c>
      <c r="J2128" s="391">
        <f t="shared" si="685"/>
        <v>0</v>
      </c>
      <c r="K2128" s="391">
        <f t="shared" si="674"/>
        <v>0</v>
      </c>
      <c r="L2128" s="391">
        <f t="shared" si="675"/>
        <v>0</v>
      </c>
      <c r="M2128" s="217"/>
      <c r="N2128" s="180"/>
      <c r="R2128" s="391"/>
      <c r="S2128" s="391"/>
      <c r="T2128" s="217"/>
      <c r="U2128" s="288"/>
      <c r="V2128" s="288"/>
      <c r="W2128" s="203"/>
      <c r="X2128" s="203"/>
    </row>
    <row r="2129" spans="1:24" ht="15" x14ac:dyDescent="0.2">
      <c r="A2129" s="751" t="s">
        <v>834</v>
      </c>
      <c r="B2129" s="516" t="s">
        <v>204</v>
      </c>
      <c r="C2129" s="517" t="s">
        <v>609</v>
      </c>
      <c r="D2129" s="623" t="s">
        <v>606</v>
      </c>
      <c r="E2129" s="523">
        <v>8520882480</v>
      </c>
      <c r="F2129" s="523">
        <v>244</v>
      </c>
      <c r="G2129" s="519">
        <v>65</v>
      </c>
      <c r="H2129" s="519"/>
      <c r="I2129" s="519">
        <v>65</v>
      </c>
      <c r="J2129" s="519"/>
      <c r="K2129" s="391">
        <f t="shared" si="674"/>
        <v>0</v>
      </c>
      <c r="L2129" s="391">
        <f t="shared" si="675"/>
        <v>0</v>
      </c>
      <c r="M2129" s="217"/>
      <c r="N2129" s="180"/>
      <c r="R2129" s="391"/>
      <c r="S2129" s="391"/>
      <c r="T2129" s="217"/>
      <c r="U2129" s="288"/>
      <c r="V2129" s="288"/>
      <c r="W2129" s="203"/>
      <c r="X2129" s="203"/>
    </row>
    <row r="2130" spans="1:24" ht="15" x14ac:dyDescent="0.2">
      <c r="A2130" s="741" t="s">
        <v>1968</v>
      </c>
      <c r="B2130" s="388" t="s">
        <v>204</v>
      </c>
      <c r="C2130" s="389" t="s">
        <v>609</v>
      </c>
      <c r="D2130" s="544" t="s">
        <v>606</v>
      </c>
      <c r="E2130" s="390">
        <v>8520900000</v>
      </c>
      <c r="F2130" s="390"/>
      <c r="G2130" s="391">
        <f t="shared" ref="G2130:J2131" si="686">G2131</f>
        <v>400</v>
      </c>
      <c r="H2130" s="391">
        <f t="shared" si="686"/>
        <v>0</v>
      </c>
      <c r="I2130" s="391">
        <f t="shared" si="686"/>
        <v>400</v>
      </c>
      <c r="J2130" s="391">
        <f t="shared" si="686"/>
        <v>0</v>
      </c>
      <c r="K2130" s="391">
        <f t="shared" ref="K2130:L2132" si="687">I2130-G2130</f>
        <v>0</v>
      </c>
      <c r="L2130" s="391">
        <f t="shared" si="687"/>
        <v>0</v>
      </c>
      <c r="M2130" s="217"/>
      <c r="N2130" s="180"/>
      <c r="R2130" s="391"/>
      <c r="S2130" s="391"/>
      <c r="T2130" s="217"/>
      <c r="U2130" s="288"/>
      <c r="V2130" s="288"/>
      <c r="W2130" s="203"/>
      <c r="X2130" s="203"/>
    </row>
    <row r="2131" spans="1:24" ht="15" x14ac:dyDescent="0.2">
      <c r="A2131" s="741" t="s">
        <v>294</v>
      </c>
      <c r="B2131" s="388" t="s">
        <v>204</v>
      </c>
      <c r="C2131" s="389" t="s">
        <v>609</v>
      </c>
      <c r="D2131" s="544" t="s">
        <v>606</v>
      </c>
      <c r="E2131" s="515" t="s">
        <v>1967</v>
      </c>
      <c r="F2131" s="390"/>
      <c r="G2131" s="391">
        <f t="shared" si="686"/>
        <v>400</v>
      </c>
      <c r="H2131" s="391">
        <f t="shared" si="686"/>
        <v>0</v>
      </c>
      <c r="I2131" s="391">
        <f t="shared" si="686"/>
        <v>400</v>
      </c>
      <c r="J2131" s="391">
        <f t="shared" si="686"/>
        <v>0</v>
      </c>
      <c r="K2131" s="391">
        <f t="shared" si="687"/>
        <v>0</v>
      </c>
      <c r="L2131" s="391">
        <f t="shared" si="687"/>
        <v>0</v>
      </c>
      <c r="M2131" s="217"/>
      <c r="N2131" s="180"/>
      <c r="R2131" s="391"/>
      <c r="S2131" s="391"/>
      <c r="T2131" s="217"/>
      <c r="U2131" s="288"/>
      <c r="V2131" s="288"/>
      <c r="W2131" s="203"/>
      <c r="X2131" s="203"/>
    </row>
    <row r="2132" spans="1:24" ht="15" x14ac:dyDescent="0.2">
      <c r="A2132" s="751" t="s">
        <v>164</v>
      </c>
      <c r="B2132" s="516" t="s">
        <v>204</v>
      </c>
      <c r="C2132" s="517" t="s">
        <v>609</v>
      </c>
      <c r="D2132" s="623" t="s">
        <v>606</v>
      </c>
      <c r="E2132" s="699" t="s">
        <v>1967</v>
      </c>
      <c r="F2132" s="523">
        <v>540</v>
      </c>
      <c r="G2132" s="519">
        <v>400</v>
      </c>
      <c r="H2132" s="519"/>
      <c r="I2132" s="519">
        <v>400</v>
      </c>
      <c r="J2132" s="519"/>
      <c r="K2132" s="391">
        <f t="shared" si="687"/>
        <v>0</v>
      </c>
      <c r="L2132" s="391">
        <f t="shared" si="687"/>
        <v>0</v>
      </c>
      <c r="M2132" s="217"/>
      <c r="N2132" s="180"/>
      <c r="R2132" s="391"/>
      <c r="S2132" s="391"/>
      <c r="T2132" s="217"/>
      <c r="U2132" s="288"/>
      <c r="V2132" s="288"/>
      <c r="W2132" s="203"/>
      <c r="X2132" s="203"/>
    </row>
    <row r="2133" spans="1:24" ht="15" x14ac:dyDescent="0.2">
      <c r="A2133" s="742" t="s">
        <v>1612</v>
      </c>
      <c r="B2133" s="388" t="s">
        <v>204</v>
      </c>
      <c r="C2133" s="389" t="s">
        <v>609</v>
      </c>
      <c r="D2133" s="544" t="s">
        <v>606</v>
      </c>
      <c r="E2133" s="390">
        <v>9990000000</v>
      </c>
      <c r="F2133" s="390"/>
      <c r="G2133" s="391">
        <f t="shared" ref="G2133:J2134" si="688">G2134</f>
        <v>0</v>
      </c>
      <c r="H2133" s="391">
        <f t="shared" si="688"/>
        <v>0</v>
      </c>
      <c r="I2133" s="391">
        <f t="shared" si="688"/>
        <v>124.3105</v>
      </c>
      <c r="J2133" s="391">
        <f t="shared" si="688"/>
        <v>0</v>
      </c>
      <c r="K2133" s="391">
        <f t="shared" si="674"/>
        <v>124.3105</v>
      </c>
      <c r="L2133" s="391">
        <f t="shared" si="675"/>
        <v>0</v>
      </c>
      <c r="M2133" s="217"/>
      <c r="N2133" s="180"/>
      <c r="R2133" s="391">
        <f>R2134</f>
        <v>0</v>
      </c>
      <c r="S2133" s="391">
        <f>S2134</f>
        <v>0</v>
      </c>
      <c r="T2133" s="217"/>
      <c r="U2133" s="288"/>
      <c r="V2133" s="288"/>
      <c r="W2133" s="203"/>
      <c r="X2133" s="203"/>
    </row>
    <row r="2134" spans="1:24" ht="29.25" customHeight="1" x14ac:dyDescent="0.2">
      <c r="A2134" s="742" t="s">
        <v>1590</v>
      </c>
      <c r="B2134" s="388" t="s">
        <v>204</v>
      </c>
      <c r="C2134" s="389" t="s">
        <v>609</v>
      </c>
      <c r="D2134" s="544" t="s">
        <v>606</v>
      </c>
      <c r="E2134" s="515">
        <v>9990082900</v>
      </c>
      <c r="F2134" s="390"/>
      <c r="G2134" s="391">
        <f t="shared" si="688"/>
        <v>0</v>
      </c>
      <c r="H2134" s="391">
        <f t="shared" si="688"/>
        <v>0</v>
      </c>
      <c r="I2134" s="391">
        <f t="shared" si="688"/>
        <v>124.3105</v>
      </c>
      <c r="J2134" s="391">
        <f t="shared" si="688"/>
        <v>0</v>
      </c>
      <c r="K2134" s="391">
        <f t="shared" si="674"/>
        <v>124.3105</v>
      </c>
      <c r="L2134" s="391">
        <f t="shared" si="675"/>
        <v>0</v>
      </c>
      <c r="M2134" s="217"/>
      <c r="N2134" s="180"/>
      <c r="R2134" s="391">
        <f>R2135</f>
        <v>0</v>
      </c>
      <c r="S2134" s="391">
        <f>S2135</f>
        <v>0</v>
      </c>
      <c r="T2134" s="217"/>
      <c r="U2134" s="288"/>
      <c r="V2134" s="288"/>
      <c r="W2134" s="203"/>
      <c r="X2134" s="203"/>
    </row>
    <row r="2135" spans="1:24" ht="15" x14ac:dyDescent="0.2">
      <c r="A2135" s="751" t="s">
        <v>1616</v>
      </c>
      <c r="B2135" s="243" t="s">
        <v>204</v>
      </c>
      <c r="C2135" s="353" t="s">
        <v>609</v>
      </c>
      <c r="D2135" s="490" t="s">
        <v>606</v>
      </c>
      <c r="E2135" s="369">
        <v>9990082900</v>
      </c>
      <c r="F2135" s="369">
        <v>414</v>
      </c>
      <c r="G2135" s="288">
        <v>0</v>
      </c>
      <c r="H2135" s="288"/>
      <c r="I2135" s="288">
        <v>124.3105</v>
      </c>
      <c r="J2135" s="288"/>
      <c r="K2135" s="43">
        <f t="shared" si="674"/>
        <v>124.3105</v>
      </c>
      <c r="L2135" s="43">
        <f t="shared" si="675"/>
        <v>0</v>
      </c>
      <c r="M2135" s="217"/>
      <c r="N2135" s="180"/>
      <c r="R2135" s="288">
        <v>0</v>
      </c>
      <c r="S2135" s="288"/>
      <c r="T2135" s="217"/>
      <c r="U2135" s="288"/>
      <c r="V2135" s="288"/>
      <c r="W2135" s="203"/>
      <c r="X2135" s="203"/>
    </row>
    <row r="2136" spans="1:24" ht="15" x14ac:dyDescent="0.2">
      <c r="A2136" s="746" t="s">
        <v>154</v>
      </c>
      <c r="B2136" s="306" t="s">
        <v>204</v>
      </c>
      <c r="C2136" s="354" t="s">
        <v>607</v>
      </c>
      <c r="D2136" s="354"/>
      <c r="E2136" s="450"/>
      <c r="F2136" s="450"/>
      <c r="G2136" s="591">
        <f>G2137</f>
        <v>4186.8899999999994</v>
      </c>
      <c r="H2136" s="591">
        <f>H2137</f>
        <v>0</v>
      </c>
      <c r="I2136" s="591">
        <f>I2137</f>
        <v>4556.3899999999994</v>
      </c>
      <c r="J2136" s="591">
        <f>J2137</f>
        <v>0</v>
      </c>
      <c r="K2136" s="591">
        <f t="shared" si="674"/>
        <v>369.5</v>
      </c>
      <c r="L2136" s="591">
        <f t="shared" si="675"/>
        <v>0</v>
      </c>
      <c r="M2136" s="217">
        <f>I2136-G2136-K2136</f>
        <v>0</v>
      </c>
      <c r="N2136" s="43"/>
      <c r="R2136" s="591">
        <f>R2137</f>
        <v>1980.1614999999999</v>
      </c>
      <c r="S2136" s="591">
        <f>S2137</f>
        <v>0</v>
      </c>
      <c r="T2136" s="217"/>
      <c r="U2136" s="498">
        <f>U2137</f>
        <v>64.8</v>
      </c>
      <c r="V2136" s="498">
        <f>V2137</f>
        <v>0</v>
      </c>
      <c r="W2136" s="203">
        <f>G2136-I2136</f>
        <v>-369.5</v>
      </c>
      <c r="X2136" s="203">
        <f>K2136+W2136</f>
        <v>0</v>
      </c>
    </row>
    <row r="2137" spans="1:24" ht="15" x14ac:dyDescent="0.2">
      <c r="A2137" s="746" t="s">
        <v>1105</v>
      </c>
      <c r="B2137" s="306" t="s">
        <v>204</v>
      </c>
      <c r="C2137" s="354" t="s">
        <v>607</v>
      </c>
      <c r="D2137" s="354" t="s">
        <v>609</v>
      </c>
      <c r="E2137" s="450"/>
      <c r="F2137" s="450"/>
      <c r="G2137" s="591">
        <f>G2163+G2138</f>
        <v>4186.8899999999994</v>
      </c>
      <c r="H2137" s="591">
        <f>H2163+H2138</f>
        <v>0</v>
      </c>
      <c r="I2137" s="591">
        <f>I2163+I2138</f>
        <v>4556.3899999999994</v>
      </c>
      <c r="J2137" s="591">
        <f>J2163+J2138</f>
        <v>0</v>
      </c>
      <c r="K2137" s="591">
        <f t="shared" si="674"/>
        <v>369.5</v>
      </c>
      <c r="L2137" s="591">
        <f t="shared" si="675"/>
        <v>0</v>
      </c>
      <c r="M2137" s="217">
        <f>I2137-G2137-K2137</f>
        <v>0</v>
      </c>
      <c r="N2137" s="43"/>
      <c r="R2137" s="591">
        <f>R2163+R2138</f>
        <v>1980.1614999999999</v>
      </c>
      <c r="S2137" s="591">
        <f>S2163+S2138</f>
        <v>0</v>
      </c>
      <c r="T2137" s="217"/>
      <c r="U2137" s="498">
        <f>U2163+U2138</f>
        <v>64.8</v>
      </c>
      <c r="V2137" s="498">
        <f>V2163+V2138</f>
        <v>0</v>
      </c>
      <c r="W2137" s="203">
        <f>G2137-I2137</f>
        <v>-369.5</v>
      </c>
      <c r="X2137" s="203">
        <f>K2137+W2137</f>
        <v>0</v>
      </c>
    </row>
    <row r="2138" spans="1:24" ht="15" x14ac:dyDescent="0.2">
      <c r="A2138" s="746" t="s">
        <v>1239</v>
      </c>
      <c r="B2138" s="306" t="s">
        <v>204</v>
      </c>
      <c r="C2138" s="354" t="s">
        <v>607</v>
      </c>
      <c r="D2138" s="354" t="s">
        <v>609</v>
      </c>
      <c r="E2138" s="450">
        <v>8000000000</v>
      </c>
      <c r="F2138" s="450"/>
      <c r="G2138" s="591">
        <f>G2142+G2151+G2148+G2154+G2139+G2145+G2157+G2160</f>
        <v>4186.8899999999994</v>
      </c>
      <c r="H2138" s="591">
        <f t="shared" ref="H2138:L2138" si="689">H2142+H2151+H2148+H2154+H2139+H2145+H2157+H2160</f>
        <v>0</v>
      </c>
      <c r="I2138" s="591">
        <f t="shared" si="689"/>
        <v>4556.3899999999994</v>
      </c>
      <c r="J2138" s="591">
        <f t="shared" si="689"/>
        <v>0</v>
      </c>
      <c r="K2138" s="591">
        <f t="shared" si="689"/>
        <v>369.50000000000011</v>
      </c>
      <c r="L2138" s="591">
        <f t="shared" si="689"/>
        <v>0</v>
      </c>
      <c r="M2138" s="217">
        <f>I2138-G2138-K2138</f>
        <v>0</v>
      </c>
      <c r="N2138" s="43"/>
      <c r="R2138" s="591">
        <f>R2142+R2151+R2148+R2154</f>
        <v>1980.1614999999999</v>
      </c>
      <c r="S2138" s="591">
        <f>S2142+S2151+S2148+S2154</f>
        <v>0</v>
      </c>
      <c r="T2138" s="217"/>
      <c r="U2138" s="498">
        <f>U2142+U2151</f>
        <v>64.8</v>
      </c>
      <c r="V2138" s="498">
        <f>V2142+V2151</f>
        <v>0</v>
      </c>
      <c r="W2138" s="203"/>
      <c r="X2138" s="203"/>
    </row>
    <row r="2139" spans="1:24" ht="25.5" x14ac:dyDescent="0.2">
      <c r="A2139" s="746" t="s">
        <v>1703</v>
      </c>
      <c r="B2139" s="306" t="s">
        <v>204</v>
      </c>
      <c r="C2139" s="354" t="s">
        <v>607</v>
      </c>
      <c r="D2139" s="354" t="s">
        <v>609</v>
      </c>
      <c r="E2139" s="620">
        <v>8000100000</v>
      </c>
      <c r="F2139" s="620"/>
      <c r="G2139" s="591">
        <f t="shared" ref="G2139:J2140" si="690">G2140</f>
        <v>1315.62</v>
      </c>
      <c r="H2139" s="591">
        <f t="shared" si="690"/>
        <v>0</v>
      </c>
      <c r="I2139" s="591">
        <f t="shared" si="690"/>
        <v>1315.62</v>
      </c>
      <c r="J2139" s="591">
        <f t="shared" si="690"/>
        <v>0</v>
      </c>
      <c r="K2139" s="591">
        <f t="shared" si="674"/>
        <v>0</v>
      </c>
      <c r="L2139" s="591">
        <f t="shared" si="675"/>
        <v>0</v>
      </c>
      <c r="M2139" s="217"/>
      <c r="N2139" s="43"/>
      <c r="R2139" s="591"/>
      <c r="S2139" s="591"/>
      <c r="T2139" s="217"/>
      <c r="U2139" s="591"/>
      <c r="V2139" s="591"/>
      <c r="W2139" s="203"/>
      <c r="X2139" s="203"/>
    </row>
    <row r="2140" spans="1:24" ht="15" x14ac:dyDescent="0.2">
      <c r="A2140" s="746" t="s">
        <v>1385</v>
      </c>
      <c r="B2140" s="306" t="s">
        <v>204</v>
      </c>
      <c r="C2140" s="354" t="s">
        <v>607</v>
      </c>
      <c r="D2140" s="354" t="s">
        <v>609</v>
      </c>
      <c r="E2140" s="620">
        <v>8000182020</v>
      </c>
      <c r="F2140" s="620"/>
      <c r="G2140" s="591">
        <f t="shared" si="690"/>
        <v>1315.62</v>
      </c>
      <c r="H2140" s="591">
        <f t="shared" si="690"/>
        <v>0</v>
      </c>
      <c r="I2140" s="591">
        <f t="shared" si="690"/>
        <v>1315.62</v>
      </c>
      <c r="J2140" s="591">
        <f t="shared" si="690"/>
        <v>0</v>
      </c>
      <c r="K2140" s="591">
        <f t="shared" si="674"/>
        <v>0</v>
      </c>
      <c r="L2140" s="591">
        <f t="shared" si="675"/>
        <v>0</v>
      </c>
      <c r="M2140" s="217"/>
      <c r="N2140" s="43"/>
      <c r="R2140" s="591"/>
      <c r="S2140" s="591"/>
      <c r="T2140" s="217"/>
      <c r="U2140" s="591"/>
      <c r="V2140" s="591"/>
      <c r="W2140" s="203"/>
      <c r="X2140" s="203"/>
    </row>
    <row r="2141" spans="1:24" ht="15" x14ac:dyDescent="0.2">
      <c r="A2141" s="739" t="s">
        <v>834</v>
      </c>
      <c r="B2141" s="243" t="s">
        <v>204</v>
      </c>
      <c r="C2141" s="353" t="s">
        <v>607</v>
      </c>
      <c r="D2141" s="353" t="s">
        <v>609</v>
      </c>
      <c r="E2141" s="369">
        <v>8000182020</v>
      </c>
      <c r="F2141" s="369" t="s">
        <v>634</v>
      </c>
      <c r="G2141" s="288">
        <v>1315.62</v>
      </c>
      <c r="H2141" s="288"/>
      <c r="I2141" s="288">
        <v>1315.62</v>
      </c>
      <c r="J2141" s="288"/>
      <c r="K2141" s="591">
        <f t="shared" si="674"/>
        <v>0</v>
      </c>
      <c r="L2141" s="591">
        <f t="shared" si="675"/>
        <v>0</v>
      </c>
      <c r="M2141" s="217"/>
      <c r="N2141" s="43"/>
      <c r="R2141" s="591"/>
      <c r="S2141" s="591"/>
      <c r="T2141" s="217"/>
      <c r="U2141" s="591"/>
      <c r="V2141" s="591"/>
      <c r="W2141" s="203"/>
      <c r="X2141" s="203"/>
    </row>
    <row r="2142" spans="1:24" ht="15" hidden="1" x14ac:dyDescent="0.2">
      <c r="A2142" s="494" t="s">
        <v>1402</v>
      </c>
      <c r="B2142" s="306" t="s">
        <v>204</v>
      </c>
      <c r="C2142" s="354" t="s">
        <v>607</v>
      </c>
      <c r="D2142" s="354" t="s">
        <v>609</v>
      </c>
      <c r="E2142" s="450">
        <v>8000200000</v>
      </c>
      <c r="F2142" s="450"/>
      <c r="G2142" s="498">
        <f t="shared" ref="G2142:J2143" si="691">G2143</f>
        <v>0</v>
      </c>
      <c r="H2142" s="498">
        <f t="shared" si="691"/>
        <v>0</v>
      </c>
      <c r="I2142" s="591">
        <f t="shared" si="691"/>
        <v>0</v>
      </c>
      <c r="J2142" s="591">
        <f t="shared" si="691"/>
        <v>0</v>
      </c>
      <c r="K2142" s="591">
        <f t="shared" si="674"/>
        <v>0</v>
      </c>
      <c r="L2142" s="591">
        <f t="shared" si="675"/>
        <v>0</v>
      </c>
      <c r="M2142" s="217">
        <f>I2142-G2142-K2142</f>
        <v>0</v>
      </c>
      <c r="N2142" s="43"/>
      <c r="R2142" s="591">
        <f>R2143</f>
        <v>20</v>
      </c>
      <c r="S2142" s="591">
        <f>S2143</f>
        <v>0</v>
      </c>
      <c r="T2142" s="217"/>
      <c r="U2142" s="498">
        <f>U2143</f>
        <v>20</v>
      </c>
      <c r="V2142" s="498">
        <f>V2143</f>
        <v>0</v>
      </c>
      <c r="W2142" s="203"/>
      <c r="X2142" s="203"/>
    </row>
    <row r="2143" spans="1:24" ht="15" hidden="1" x14ac:dyDescent="0.2">
      <c r="A2143" s="491" t="s">
        <v>1385</v>
      </c>
      <c r="B2143" s="306" t="s">
        <v>204</v>
      </c>
      <c r="C2143" s="354" t="s">
        <v>607</v>
      </c>
      <c r="D2143" s="354" t="s">
        <v>609</v>
      </c>
      <c r="E2143" s="450">
        <v>8000282020</v>
      </c>
      <c r="F2143" s="450"/>
      <c r="G2143" s="498">
        <f t="shared" si="691"/>
        <v>0</v>
      </c>
      <c r="H2143" s="498">
        <f t="shared" si="691"/>
        <v>0</v>
      </c>
      <c r="I2143" s="591">
        <f t="shared" si="691"/>
        <v>0</v>
      </c>
      <c r="J2143" s="591">
        <f t="shared" si="691"/>
        <v>0</v>
      </c>
      <c r="K2143" s="591">
        <f t="shared" si="674"/>
        <v>0</v>
      </c>
      <c r="L2143" s="591">
        <f t="shared" si="675"/>
        <v>0</v>
      </c>
      <c r="M2143" s="217">
        <f>I2143-G2143-K2143</f>
        <v>0</v>
      </c>
      <c r="N2143" s="43"/>
      <c r="R2143" s="591">
        <f>R2144</f>
        <v>20</v>
      </c>
      <c r="S2143" s="591">
        <f>S2144</f>
        <v>0</v>
      </c>
      <c r="T2143" s="217"/>
      <c r="U2143" s="498">
        <f>U2144</f>
        <v>20</v>
      </c>
      <c r="V2143" s="498">
        <f>V2144</f>
        <v>0</v>
      </c>
      <c r="W2143" s="203"/>
      <c r="X2143" s="203"/>
    </row>
    <row r="2144" spans="1:24" ht="15" hidden="1" x14ac:dyDescent="0.2">
      <c r="A2144" s="124" t="s">
        <v>834</v>
      </c>
      <c r="B2144" s="243" t="s">
        <v>204</v>
      </c>
      <c r="C2144" s="353" t="s">
        <v>607</v>
      </c>
      <c r="D2144" s="353" t="s">
        <v>609</v>
      </c>
      <c r="E2144" s="369">
        <v>8000282020</v>
      </c>
      <c r="F2144" s="369" t="s">
        <v>634</v>
      </c>
      <c r="G2144" s="288"/>
      <c r="H2144" s="288"/>
      <c r="I2144" s="288"/>
      <c r="J2144" s="288"/>
      <c r="K2144" s="43">
        <f t="shared" si="674"/>
        <v>0</v>
      </c>
      <c r="L2144" s="43">
        <f t="shared" si="675"/>
        <v>0</v>
      </c>
      <c r="M2144" s="217">
        <f>I2144-G2144-K2144</f>
        <v>0</v>
      </c>
      <c r="N2144" s="43"/>
      <c r="R2144" s="288">
        <v>20</v>
      </c>
      <c r="S2144" s="288">
        <v>0</v>
      </c>
      <c r="T2144" s="217"/>
      <c r="U2144" s="288">
        <v>20</v>
      </c>
      <c r="V2144" s="288">
        <v>0</v>
      </c>
      <c r="W2144" s="203"/>
      <c r="X2144" s="203"/>
    </row>
    <row r="2145" spans="1:24" ht="15" x14ac:dyDescent="0.2">
      <c r="A2145" s="741" t="s">
        <v>1913</v>
      </c>
      <c r="B2145" s="392">
        <v>961</v>
      </c>
      <c r="C2145" s="389" t="s">
        <v>607</v>
      </c>
      <c r="D2145" s="389" t="s">
        <v>609</v>
      </c>
      <c r="E2145" s="390">
        <v>8000300000</v>
      </c>
      <c r="F2145" s="390"/>
      <c r="G2145" s="391">
        <f t="shared" ref="G2145:J2146" si="692">G2146</f>
        <v>1091.0999999999999</v>
      </c>
      <c r="H2145" s="391">
        <f t="shared" si="692"/>
        <v>0</v>
      </c>
      <c r="I2145" s="391">
        <f t="shared" si="692"/>
        <v>551.1</v>
      </c>
      <c r="J2145" s="391">
        <f t="shared" si="692"/>
        <v>0</v>
      </c>
      <c r="K2145" s="42">
        <f t="shared" ref="K2145:L2147" si="693">I2145-G2145</f>
        <v>-539.99999999999989</v>
      </c>
      <c r="L2145" s="42">
        <f t="shared" si="693"/>
        <v>0</v>
      </c>
      <c r="M2145" s="217"/>
      <c r="N2145" s="43"/>
      <c r="R2145" s="288"/>
      <c r="S2145" s="288"/>
      <c r="T2145" s="217"/>
      <c r="U2145" s="288"/>
      <c r="V2145" s="288"/>
      <c r="W2145" s="203"/>
      <c r="X2145" s="203"/>
    </row>
    <row r="2146" spans="1:24" ht="15" x14ac:dyDescent="0.2">
      <c r="A2146" s="746" t="s">
        <v>1385</v>
      </c>
      <c r="B2146" s="392">
        <v>961</v>
      </c>
      <c r="C2146" s="389" t="s">
        <v>607</v>
      </c>
      <c r="D2146" s="389" t="s">
        <v>609</v>
      </c>
      <c r="E2146" s="515">
        <v>8000382020</v>
      </c>
      <c r="F2146" s="390"/>
      <c r="G2146" s="391">
        <f t="shared" si="692"/>
        <v>1091.0999999999999</v>
      </c>
      <c r="H2146" s="391">
        <f t="shared" si="692"/>
        <v>0</v>
      </c>
      <c r="I2146" s="391">
        <f t="shared" si="692"/>
        <v>551.1</v>
      </c>
      <c r="J2146" s="391">
        <f t="shared" si="692"/>
        <v>0</v>
      </c>
      <c r="K2146" s="42">
        <f t="shared" si="693"/>
        <v>-539.99999999999989</v>
      </c>
      <c r="L2146" s="42">
        <f t="shared" si="693"/>
        <v>0</v>
      </c>
      <c r="M2146" s="217"/>
      <c r="N2146" s="43"/>
      <c r="R2146" s="288"/>
      <c r="S2146" s="288"/>
      <c r="T2146" s="217"/>
      <c r="U2146" s="288"/>
      <c r="V2146" s="288"/>
      <c r="W2146" s="203"/>
      <c r="X2146" s="203"/>
    </row>
    <row r="2147" spans="1:24" ht="15" x14ac:dyDescent="0.2">
      <c r="A2147" s="739" t="s">
        <v>834</v>
      </c>
      <c r="B2147" s="364">
        <v>961</v>
      </c>
      <c r="C2147" s="353" t="s">
        <v>607</v>
      </c>
      <c r="D2147" s="353" t="s">
        <v>609</v>
      </c>
      <c r="E2147" s="386">
        <v>8000382020</v>
      </c>
      <c r="F2147" s="369">
        <v>244</v>
      </c>
      <c r="G2147" s="288">
        <v>1091.0999999999999</v>
      </c>
      <c r="H2147" s="288"/>
      <c r="I2147" s="288">
        <v>551.1</v>
      </c>
      <c r="J2147" s="288"/>
      <c r="K2147" s="43">
        <f t="shared" si="693"/>
        <v>-539.99999999999989</v>
      </c>
      <c r="L2147" s="43">
        <f t="shared" si="693"/>
        <v>0</v>
      </c>
      <c r="M2147" s="217"/>
      <c r="N2147" s="43"/>
      <c r="R2147" s="288"/>
      <c r="S2147" s="288"/>
      <c r="T2147" s="217"/>
      <c r="U2147" s="288"/>
      <c r="V2147" s="288"/>
      <c r="W2147" s="203"/>
      <c r="X2147" s="203"/>
    </row>
    <row r="2148" spans="1:24" ht="15" x14ac:dyDescent="0.2">
      <c r="A2148" s="741" t="s">
        <v>1241</v>
      </c>
      <c r="B2148" s="392">
        <v>961</v>
      </c>
      <c r="C2148" s="389" t="s">
        <v>607</v>
      </c>
      <c r="D2148" s="389" t="s">
        <v>609</v>
      </c>
      <c r="E2148" s="390">
        <v>8000600000</v>
      </c>
      <c r="F2148" s="390"/>
      <c r="G2148" s="391">
        <f t="shared" ref="G2148:J2149" si="694">G2149</f>
        <v>1780.17</v>
      </c>
      <c r="H2148" s="391">
        <f t="shared" si="694"/>
        <v>0</v>
      </c>
      <c r="I2148" s="391">
        <f t="shared" si="694"/>
        <v>1780.17</v>
      </c>
      <c r="J2148" s="391">
        <f t="shared" si="694"/>
        <v>0</v>
      </c>
      <c r="K2148" s="42">
        <f t="shared" si="674"/>
        <v>0</v>
      </c>
      <c r="L2148" s="42">
        <f t="shared" si="675"/>
        <v>0</v>
      </c>
      <c r="M2148" s="217"/>
      <c r="N2148" s="43"/>
      <c r="R2148" s="391">
        <f>R2149</f>
        <v>1780.1614999999999</v>
      </c>
      <c r="S2148" s="391">
        <f>S2149</f>
        <v>0</v>
      </c>
      <c r="T2148" s="217"/>
      <c r="U2148" s="288"/>
      <c r="V2148" s="288"/>
      <c r="W2148" s="203"/>
      <c r="X2148" s="203"/>
    </row>
    <row r="2149" spans="1:24" ht="15" x14ac:dyDescent="0.2">
      <c r="A2149" s="742" t="s">
        <v>1108</v>
      </c>
      <c r="B2149" s="392">
        <v>961</v>
      </c>
      <c r="C2149" s="389" t="s">
        <v>607</v>
      </c>
      <c r="D2149" s="389" t="s">
        <v>609</v>
      </c>
      <c r="E2149" s="390" t="s">
        <v>1243</v>
      </c>
      <c r="F2149" s="390"/>
      <c r="G2149" s="391">
        <f t="shared" si="694"/>
        <v>1780.17</v>
      </c>
      <c r="H2149" s="391">
        <f t="shared" si="694"/>
        <v>0</v>
      </c>
      <c r="I2149" s="391">
        <f t="shared" si="694"/>
        <v>1780.17</v>
      </c>
      <c r="J2149" s="391">
        <f t="shared" si="694"/>
        <v>0</v>
      </c>
      <c r="K2149" s="42">
        <f t="shared" si="674"/>
        <v>0</v>
      </c>
      <c r="L2149" s="42">
        <f t="shared" si="675"/>
        <v>0</v>
      </c>
      <c r="M2149" s="217"/>
      <c r="N2149" s="43"/>
      <c r="R2149" s="391">
        <f>R2150</f>
        <v>1780.1614999999999</v>
      </c>
      <c r="S2149" s="391">
        <f>S2150</f>
        <v>0</v>
      </c>
      <c r="T2149" s="217"/>
      <c r="U2149" s="288"/>
      <c r="V2149" s="288"/>
      <c r="W2149" s="203"/>
      <c r="X2149" s="203"/>
    </row>
    <row r="2150" spans="1:24" ht="15" x14ac:dyDescent="0.2">
      <c r="A2150" s="739" t="s">
        <v>164</v>
      </c>
      <c r="B2150" s="364">
        <v>961</v>
      </c>
      <c r="C2150" s="353" t="s">
        <v>607</v>
      </c>
      <c r="D2150" s="353" t="s">
        <v>609</v>
      </c>
      <c r="E2150" s="369" t="s">
        <v>1243</v>
      </c>
      <c r="F2150" s="369">
        <v>540</v>
      </c>
      <c r="G2150" s="288">
        <v>1780.17</v>
      </c>
      <c r="H2150" s="288"/>
      <c r="I2150" s="288">
        <v>1780.17</v>
      </c>
      <c r="J2150" s="288"/>
      <c r="K2150" s="43">
        <f t="shared" si="674"/>
        <v>0</v>
      </c>
      <c r="L2150" s="43">
        <f t="shared" si="675"/>
        <v>0</v>
      </c>
      <c r="M2150" s="217"/>
      <c r="N2150" s="43"/>
      <c r="R2150" s="288">
        <v>1780.1614999999999</v>
      </c>
      <c r="S2150" s="288">
        <v>0</v>
      </c>
      <c r="T2150" s="217"/>
      <c r="U2150" s="288"/>
      <c r="V2150" s="288"/>
      <c r="W2150" s="203"/>
      <c r="X2150" s="203"/>
    </row>
    <row r="2151" spans="1:24" ht="15" hidden="1" x14ac:dyDescent="0.2">
      <c r="A2151" s="451" t="s">
        <v>1384</v>
      </c>
      <c r="B2151" s="306" t="s">
        <v>204</v>
      </c>
      <c r="C2151" s="354" t="s">
        <v>607</v>
      </c>
      <c r="D2151" s="354" t="s">
        <v>609</v>
      </c>
      <c r="E2151" s="450">
        <v>8000900000</v>
      </c>
      <c r="F2151" s="450"/>
      <c r="G2151" s="498">
        <f t="shared" ref="G2151:J2152" si="695">G2152</f>
        <v>0</v>
      </c>
      <c r="H2151" s="498">
        <f t="shared" si="695"/>
        <v>0</v>
      </c>
      <c r="I2151" s="591">
        <f t="shared" si="695"/>
        <v>0</v>
      </c>
      <c r="J2151" s="591">
        <f t="shared" si="695"/>
        <v>0</v>
      </c>
      <c r="K2151" s="591">
        <f t="shared" si="674"/>
        <v>0</v>
      </c>
      <c r="L2151" s="591">
        <f t="shared" si="675"/>
        <v>0</v>
      </c>
      <c r="M2151" s="217">
        <f>I2151-G2151-K2151</f>
        <v>0</v>
      </c>
      <c r="N2151" s="43"/>
      <c r="R2151" s="591">
        <f>R2152</f>
        <v>0</v>
      </c>
      <c r="S2151" s="591">
        <f>S2152</f>
        <v>0</v>
      </c>
      <c r="T2151" s="217"/>
      <c r="U2151" s="498">
        <f>U2152</f>
        <v>44.8</v>
      </c>
      <c r="V2151" s="498">
        <f>V2152</f>
        <v>0</v>
      </c>
      <c r="W2151" s="203"/>
      <c r="X2151" s="203"/>
    </row>
    <row r="2152" spans="1:24" ht="15" hidden="1" x14ac:dyDescent="0.2">
      <c r="A2152" s="451" t="s">
        <v>1385</v>
      </c>
      <c r="B2152" s="306" t="s">
        <v>204</v>
      </c>
      <c r="C2152" s="354" t="s">
        <v>607</v>
      </c>
      <c r="D2152" s="354" t="s">
        <v>609</v>
      </c>
      <c r="E2152" s="450">
        <v>8000982020</v>
      </c>
      <c r="F2152" s="450"/>
      <c r="G2152" s="498">
        <f t="shared" si="695"/>
        <v>0</v>
      </c>
      <c r="H2152" s="498">
        <f t="shared" si="695"/>
        <v>0</v>
      </c>
      <c r="I2152" s="591">
        <f t="shared" si="695"/>
        <v>0</v>
      </c>
      <c r="J2152" s="591">
        <f t="shared" si="695"/>
        <v>0</v>
      </c>
      <c r="K2152" s="591">
        <f t="shared" si="674"/>
        <v>0</v>
      </c>
      <c r="L2152" s="591">
        <f t="shared" si="675"/>
        <v>0</v>
      </c>
      <c r="M2152" s="217">
        <f>I2152-G2152-K2152</f>
        <v>0</v>
      </c>
      <c r="N2152" s="43"/>
      <c r="R2152" s="591">
        <f>R2153</f>
        <v>0</v>
      </c>
      <c r="S2152" s="591">
        <f>S2153</f>
        <v>0</v>
      </c>
      <c r="T2152" s="217"/>
      <c r="U2152" s="498">
        <f>U2153</f>
        <v>44.8</v>
      </c>
      <c r="V2152" s="498">
        <f>V2153</f>
        <v>0</v>
      </c>
      <c r="W2152" s="203"/>
      <c r="X2152" s="203"/>
    </row>
    <row r="2153" spans="1:24" ht="15" hidden="1" x14ac:dyDescent="0.2">
      <c r="A2153" s="124" t="s">
        <v>834</v>
      </c>
      <c r="B2153" s="243" t="s">
        <v>204</v>
      </c>
      <c r="C2153" s="353" t="s">
        <v>607</v>
      </c>
      <c r="D2153" s="353" t="s">
        <v>609</v>
      </c>
      <c r="E2153" s="369">
        <v>8000982020</v>
      </c>
      <c r="F2153" s="369" t="s">
        <v>634</v>
      </c>
      <c r="G2153" s="288"/>
      <c r="H2153" s="288">
        <v>0</v>
      </c>
      <c r="I2153" s="288"/>
      <c r="J2153" s="288">
        <v>0</v>
      </c>
      <c r="K2153" s="43">
        <f t="shared" si="674"/>
        <v>0</v>
      </c>
      <c r="L2153" s="43">
        <f t="shared" si="675"/>
        <v>0</v>
      </c>
      <c r="M2153" s="217">
        <f>I2153-G2153-K2153</f>
        <v>0</v>
      </c>
      <c r="N2153" s="43"/>
      <c r="R2153" s="288"/>
      <c r="S2153" s="288">
        <v>0</v>
      </c>
      <c r="T2153" s="217"/>
      <c r="U2153" s="288">
        <v>44.8</v>
      </c>
      <c r="V2153" s="288">
        <v>0</v>
      </c>
      <c r="W2153" s="203"/>
      <c r="X2153" s="203"/>
    </row>
    <row r="2154" spans="1:24" ht="15" hidden="1" x14ac:dyDescent="0.2">
      <c r="A2154" s="121" t="s">
        <v>1673</v>
      </c>
      <c r="B2154" s="388" t="s">
        <v>204</v>
      </c>
      <c r="C2154" s="389" t="s">
        <v>607</v>
      </c>
      <c r="D2154" s="389" t="s">
        <v>609</v>
      </c>
      <c r="E2154" s="390">
        <v>8001400000</v>
      </c>
      <c r="F2154" s="390"/>
      <c r="G2154" s="391">
        <f t="shared" ref="G2154:J2161" si="696">G2155</f>
        <v>0</v>
      </c>
      <c r="H2154" s="391">
        <f t="shared" si="696"/>
        <v>0</v>
      </c>
      <c r="I2154" s="391">
        <f t="shared" si="696"/>
        <v>0</v>
      </c>
      <c r="J2154" s="391">
        <f t="shared" si="696"/>
        <v>0</v>
      </c>
      <c r="K2154" s="391">
        <f t="shared" si="674"/>
        <v>0</v>
      </c>
      <c r="L2154" s="391">
        <f t="shared" si="675"/>
        <v>0</v>
      </c>
      <c r="M2154" s="217"/>
      <c r="N2154" s="43"/>
      <c r="R2154" s="391">
        <f>R2155</f>
        <v>180</v>
      </c>
      <c r="S2154" s="391">
        <f>S2155</f>
        <v>0</v>
      </c>
      <c r="T2154" s="217"/>
      <c r="U2154" s="288"/>
      <c r="V2154" s="288"/>
      <c r="W2154" s="203"/>
      <c r="X2154" s="203"/>
    </row>
    <row r="2155" spans="1:24" ht="15" hidden="1" x14ac:dyDescent="0.2">
      <c r="A2155" s="121" t="s">
        <v>1674</v>
      </c>
      <c r="B2155" s="388" t="s">
        <v>204</v>
      </c>
      <c r="C2155" s="389" t="s">
        <v>607</v>
      </c>
      <c r="D2155" s="389" t="s">
        <v>609</v>
      </c>
      <c r="E2155" s="390">
        <v>8001482020</v>
      </c>
      <c r="F2155" s="390"/>
      <c r="G2155" s="391">
        <f t="shared" si="696"/>
        <v>0</v>
      </c>
      <c r="H2155" s="391">
        <f t="shared" si="696"/>
        <v>0</v>
      </c>
      <c r="I2155" s="391">
        <f t="shared" si="696"/>
        <v>0</v>
      </c>
      <c r="J2155" s="391">
        <f t="shared" si="696"/>
        <v>0</v>
      </c>
      <c r="K2155" s="391">
        <f t="shared" si="674"/>
        <v>0</v>
      </c>
      <c r="L2155" s="391">
        <f t="shared" si="675"/>
        <v>0</v>
      </c>
      <c r="M2155" s="217"/>
      <c r="N2155" s="43"/>
      <c r="R2155" s="391">
        <f>R2156</f>
        <v>180</v>
      </c>
      <c r="S2155" s="391">
        <f>S2156</f>
        <v>0</v>
      </c>
      <c r="T2155" s="217"/>
      <c r="U2155" s="288"/>
      <c r="V2155" s="288"/>
      <c r="W2155" s="203"/>
      <c r="X2155" s="203"/>
    </row>
    <row r="2156" spans="1:24" ht="15" hidden="1" x14ac:dyDescent="0.2">
      <c r="A2156" s="124" t="s">
        <v>1584</v>
      </c>
      <c r="B2156" s="243" t="s">
        <v>204</v>
      </c>
      <c r="C2156" s="353" t="s">
        <v>607</v>
      </c>
      <c r="D2156" s="353" t="s">
        <v>609</v>
      </c>
      <c r="E2156" s="369">
        <v>8001482020</v>
      </c>
      <c r="F2156" s="369">
        <v>540</v>
      </c>
      <c r="G2156" s="288"/>
      <c r="H2156" s="288"/>
      <c r="I2156" s="288"/>
      <c r="J2156" s="288"/>
      <c r="K2156" s="43">
        <f t="shared" si="674"/>
        <v>0</v>
      </c>
      <c r="L2156" s="43">
        <f t="shared" si="675"/>
        <v>0</v>
      </c>
      <c r="M2156" s="217"/>
      <c r="N2156" s="43"/>
      <c r="R2156" s="288">
        <v>180</v>
      </c>
      <c r="S2156" s="288"/>
      <c r="T2156" s="217"/>
      <c r="U2156" s="288"/>
      <c r="V2156" s="288"/>
      <c r="W2156" s="203"/>
      <c r="X2156" s="203"/>
    </row>
    <row r="2157" spans="1:24" ht="25.5" x14ac:dyDescent="0.2">
      <c r="A2157" s="742" t="s">
        <v>2036</v>
      </c>
      <c r="B2157" s="388" t="s">
        <v>204</v>
      </c>
      <c r="C2157" s="389" t="s">
        <v>607</v>
      </c>
      <c r="D2157" s="389" t="s">
        <v>609</v>
      </c>
      <c r="E2157" s="390">
        <v>8002700000</v>
      </c>
      <c r="F2157" s="390"/>
      <c r="G2157" s="391">
        <f t="shared" si="696"/>
        <v>0</v>
      </c>
      <c r="H2157" s="391">
        <f t="shared" si="696"/>
        <v>0</v>
      </c>
      <c r="I2157" s="391">
        <f t="shared" si="696"/>
        <v>369.5</v>
      </c>
      <c r="J2157" s="391">
        <f t="shared" si="696"/>
        <v>0</v>
      </c>
      <c r="K2157" s="391">
        <f t="shared" ref="K2157:K2159" si="697">I2157-G2157</f>
        <v>369.5</v>
      </c>
      <c r="L2157" s="391">
        <f t="shared" ref="L2157:L2159" si="698">J2157-H2157</f>
        <v>0</v>
      </c>
      <c r="M2157" s="217"/>
      <c r="N2157" s="43"/>
      <c r="R2157" s="288"/>
      <c r="S2157" s="288"/>
      <c r="T2157" s="217"/>
      <c r="U2157" s="288"/>
      <c r="V2157" s="288"/>
      <c r="W2157" s="203"/>
      <c r="X2157" s="203"/>
    </row>
    <row r="2158" spans="1:24" ht="15" x14ac:dyDescent="0.2">
      <c r="A2158" s="742" t="s">
        <v>1674</v>
      </c>
      <c r="B2158" s="388" t="s">
        <v>204</v>
      </c>
      <c r="C2158" s="389" t="s">
        <v>607</v>
      </c>
      <c r="D2158" s="389" t="s">
        <v>609</v>
      </c>
      <c r="E2158" s="390">
        <v>8002782020</v>
      </c>
      <c r="F2158" s="390"/>
      <c r="G2158" s="391">
        <f t="shared" si="696"/>
        <v>0</v>
      </c>
      <c r="H2158" s="391">
        <f t="shared" si="696"/>
        <v>0</v>
      </c>
      <c r="I2158" s="391">
        <f t="shared" si="696"/>
        <v>369.5</v>
      </c>
      <c r="J2158" s="391">
        <f t="shared" si="696"/>
        <v>0</v>
      </c>
      <c r="K2158" s="391">
        <f t="shared" si="697"/>
        <v>369.5</v>
      </c>
      <c r="L2158" s="391">
        <f t="shared" si="698"/>
        <v>0</v>
      </c>
      <c r="M2158" s="217"/>
      <c r="N2158" s="43"/>
      <c r="R2158" s="288"/>
      <c r="S2158" s="288"/>
      <c r="T2158" s="217"/>
      <c r="U2158" s="288"/>
      <c r="V2158" s="288"/>
      <c r="W2158" s="203"/>
      <c r="X2158" s="203"/>
    </row>
    <row r="2159" spans="1:24" ht="15" x14ac:dyDescent="0.2">
      <c r="A2159" s="739" t="s">
        <v>1558</v>
      </c>
      <c r="B2159" s="243" t="s">
        <v>204</v>
      </c>
      <c r="C2159" s="353" t="s">
        <v>607</v>
      </c>
      <c r="D2159" s="353" t="s">
        <v>609</v>
      </c>
      <c r="E2159" s="369">
        <v>8002782020</v>
      </c>
      <c r="F2159" s="369">
        <v>244</v>
      </c>
      <c r="G2159" s="288"/>
      <c r="H2159" s="288"/>
      <c r="I2159" s="288">
        <v>369.5</v>
      </c>
      <c r="J2159" s="288"/>
      <c r="K2159" s="43">
        <f t="shared" si="697"/>
        <v>369.5</v>
      </c>
      <c r="L2159" s="43">
        <f t="shared" si="698"/>
        <v>0</v>
      </c>
      <c r="M2159" s="217"/>
      <c r="N2159" s="43"/>
      <c r="R2159" s="288"/>
      <c r="S2159" s="288"/>
      <c r="T2159" s="217"/>
      <c r="U2159" s="288"/>
      <c r="V2159" s="288"/>
      <c r="W2159" s="203"/>
      <c r="X2159" s="203"/>
    </row>
    <row r="2160" spans="1:24" ht="25.5" x14ac:dyDescent="0.2">
      <c r="A2160" s="742" t="s">
        <v>2037</v>
      </c>
      <c r="B2160" s="388" t="s">
        <v>204</v>
      </c>
      <c r="C2160" s="389" t="s">
        <v>607</v>
      </c>
      <c r="D2160" s="389" t="s">
        <v>609</v>
      </c>
      <c r="E2160" s="390">
        <v>8003000000</v>
      </c>
      <c r="F2160" s="390"/>
      <c r="G2160" s="391">
        <f t="shared" si="696"/>
        <v>0</v>
      </c>
      <c r="H2160" s="391">
        <f t="shared" si="696"/>
        <v>0</v>
      </c>
      <c r="I2160" s="391">
        <f t="shared" si="696"/>
        <v>540</v>
      </c>
      <c r="J2160" s="391">
        <f t="shared" si="696"/>
        <v>0</v>
      </c>
      <c r="K2160" s="391">
        <f t="shared" ref="K2160:K2162" si="699">I2160-G2160</f>
        <v>540</v>
      </c>
      <c r="L2160" s="391">
        <f t="shared" ref="L2160:L2162" si="700">J2160-H2160</f>
        <v>0</v>
      </c>
      <c r="M2160" s="217"/>
      <c r="N2160" s="43"/>
      <c r="R2160" s="288"/>
      <c r="S2160" s="288"/>
      <c r="T2160" s="217"/>
      <c r="U2160" s="288"/>
      <c r="V2160" s="288"/>
      <c r="W2160" s="203"/>
      <c r="X2160" s="203"/>
    </row>
    <row r="2161" spans="1:24" ht="15" x14ac:dyDescent="0.2">
      <c r="A2161" s="742" t="s">
        <v>1674</v>
      </c>
      <c r="B2161" s="388" t="s">
        <v>204</v>
      </c>
      <c r="C2161" s="389" t="s">
        <v>607</v>
      </c>
      <c r="D2161" s="389" t="s">
        <v>609</v>
      </c>
      <c r="E2161" s="390">
        <v>8003082020</v>
      </c>
      <c r="F2161" s="390"/>
      <c r="G2161" s="391">
        <f t="shared" si="696"/>
        <v>0</v>
      </c>
      <c r="H2161" s="391">
        <f t="shared" si="696"/>
        <v>0</v>
      </c>
      <c r="I2161" s="391">
        <f t="shared" si="696"/>
        <v>540</v>
      </c>
      <c r="J2161" s="391">
        <f t="shared" si="696"/>
        <v>0</v>
      </c>
      <c r="K2161" s="391">
        <f t="shared" si="699"/>
        <v>540</v>
      </c>
      <c r="L2161" s="391">
        <f t="shared" si="700"/>
        <v>0</v>
      </c>
      <c r="M2161" s="217"/>
      <c r="N2161" s="43"/>
      <c r="R2161" s="288"/>
      <c r="S2161" s="288"/>
      <c r="T2161" s="217"/>
      <c r="U2161" s="288"/>
      <c r="V2161" s="288"/>
      <c r="W2161" s="203"/>
      <c r="X2161" s="203"/>
    </row>
    <row r="2162" spans="1:24" ht="15" x14ac:dyDescent="0.2">
      <c r="A2162" s="739" t="s">
        <v>1558</v>
      </c>
      <c r="B2162" s="243" t="s">
        <v>204</v>
      </c>
      <c r="C2162" s="353" t="s">
        <v>607</v>
      </c>
      <c r="D2162" s="353" t="s">
        <v>609</v>
      </c>
      <c r="E2162" s="369">
        <v>8003082020</v>
      </c>
      <c r="F2162" s="369">
        <v>244</v>
      </c>
      <c r="G2162" s="288"/>
      <c r="H2162" s="288"/>
      <c r="I2162" s="288">
        <v>540</v>
      </c>
      <c r="J2162" s="288"/>
      <c r="K2162" s="43">
        <f t="shared" si="699"/>
        <v>540</v>
      </c>
      <c r="L2162" s="43">
        <f t="shared" si="700"/>
        <v>0</v>
      </c>
      <c r="M2162" s="217"/>
      <c r="N2162" s="43"/>
      <c r="R2162" s="288"/>
      <c r="S2162" s="288"/>
      <c r="T2162" s="217"/>
      <c r="U2162" s="288"/>
      <c r="V2162" s="288"/>
      <c r="W2162" s="203"/>
      <c r="X2162" s="203"/>
    </row>
    <row r="2163" spans="1:24" s="175" customFormat="1" ht="15" hidden="1" x14ac:dyDescent="0.2">
      <c r="A2163" s="451" t="s">
        <v>65</v>
      </c>
      <c r="B2163" s="306" t="s">
        <v>204</v>
      </c>
      <c r="C2163" s="354" t="s">
        <v>607</v>
      </c>
      <c r="D2163" s="354" t="s">
        <v>609</v>
      </c>
      <c r="E2163" s="450">
        <v>9990000000</v>
      </c>
      <c r="F2163" s="450"/>
      <c r="G2163" s="498">
        <f>G2164+G2166</f>
        <v>0</v>
      </c>
      <c r="H2163" s="498">
        <f>H2164+H2166</f>
        <v>0</v>
      </c>
      <c r="I2163" s="591">
        <f>I2164+I2166</f>
        <v>0</v>
      </c>
      <c r="J2163" s="591">
        <f>J2164+J2166</f>
        <v>0</v>
      </c>
      <c r="K2163" s="591">
        <f t="shared" si="674"/>
        <v>0</v>
      </c>
      <c r="L2163" s="591">
        <f t="shared" si="675"/>
        <v>0</v>
      </c>
      <c r="M2163" s="217">
        <f t="shared" ref="M2163:M2179" si="701">I2163-G2163-K2163</f>
        <v>0</v>
      </c>
      <c r="N2163" s="178"/>
      <c r="R2163" s="591">
        <f>R2164+R2166</f>
        <v>0</v>
      </c>
      <c r="S2163" s="591">
        <f>S2164+S2166</f>
        <v>0</v>
      </c>
      <c r="T2163" s="248"/>
      <c r="U2163" s="498">
        <f>U2164+U2166</f>
        <v>0</v>
      </c>
      <c r="V2163" s="498">
        <f>V2164+V2166</f>
        <v>0</v>
      </c>
      <c r="W2163" s="203">
        <f t="shared" ref="W2163:W2179" si="702">G2163-I2163</f>
        <v>0</v>
      </c>
      <c r="X2163" s="203">
        <f t="shared" ref="X2163:X2179" si="703">K2163+W2163</f>
        <v>0</v>
      </c>
    </row>
    <row r="2164" spans="1:24" s="175" customFormat="1" ht="15" hidden="1" x14ac:dyDescent="0.2">
      <c r="A2164" s="451" t="s">
        <v>1108</v>
      </c>
      <c r="B2164" s="306" t="s">
        <v>204</v>
      </c>
      <c r="C2164" s="354" t="s">
        <v>607</v>
      </c>
      <c r="D2164" s="354" t="s">
        <v>609</v>
      </c>
      <c r="E2164" s="450" t="s">
        <v>1106</v>
      </c>
      <c r="F2164" s="450"/>
      <c r="G2164" s="498">
        <f>G2165</f>
        <v>0</v>
      </c>
      <c r="H2164" s="498">
        <f>H2165</f>
        <v>0</v>
      </c>
      <c r="I2164" s="591">
        <f>I2165</f>
        <v>0</v>
      </c>
      <c r="J2164" s="591">
        <f>J2165</f>
        <v>0</v>
      </c>
      <c r="K2164" s="591">
        <f t="shared" si="674"/>
        <v>0</v>
      </c>
      <c r="L2164" s="591">
        <f t="shared" si="675"/>
        <v>0</v>
      </c>
      <c r="M2164" s="217">
        <f t="shared" si="701"/>
        <v>0</v>
      </c>
      <c r="N2164" s="178"/>
      <c r="R2164" s="591">
        <f>R2165</f>
        <v>0</v>
      </c>
      <c r="S2164" s="591">
        <f>S2165</f>
        <v>0</v>
      </c>
      <c r="T2164" s="248"/>
      <c r="U2164" s="498">
        <f>U2165</f>
        <v>0</v>
      </c>
      <c r="V2164" s="498">
        <f>V2165</f>
        <v>0</v>
      </c>
      <c r="W2164" s="203">
        <f t="shared" si="702"/>
        <v>0</v>
      </c>
      <c r="X2164" s="203">
        <f t="shared" si="703"/>
        <v>0</v>
      </c>
    </row>
    <row r="2165" spans="1:24" s="175" customFormat="1" ht="15" hidden="1" x14ac:dyDescent="0.2">
      <c r="A2165" s="124" t="s">
        <v>834</v>
      </c>
      <c r="B2165" s="243" t="s">
        <v>204</v>
      </c>
      <c r="C2165" s="353" t="s">
        <v>607</v>
      </c>
      <c r="D2165" s="353" t="s">
        <v>609</v>
      </c>
      <c r="E2165" s="369" t="s">
        <v>1106</v>
      </c>
      <c r="F2165" s="369" t="s">
        <v>634</v>
      </c>
      <c r="G2165" s="288"/>
      <c r="H2165" s="288">
        <v>0</v>
      </c>
      <c r="I2165" s="288"/>
      <c r="J2165" s="288">
        <v>0</v>
      </c>
      <c r="K2165" s="43">
        <f t="shared" si="674"/>
        <v>0</v>
      </c>
      <c r="L2165" s="43">
        <f t="shared" si="675"/>
        <v>0</v>
      </c>
      <c r="M2165" s="217">
        <f t="shared" si="701"/>
        <v>0</v>
      </c>
      <c r="N2165" s="178"/>
      <c r="R2165" s="288"/>
      <c r="S2165" s="288">
        <v>0</v>
      </c>
      <c r="T2165" s="248"/>
      <c r="U2165" s="288"/>
      <c r="V2165" s="288">
        <v>0</v>
      </c>
      <c r="W2165" s="203">
        <f t="shared" si="702"/>
        <v>0</v>
      </c>
      <c r="X2165" s="203">
        <f t="shared" si="703"/>
        <v>0</v>
      </c>
    </row>
    <row r="2166" spans="1:24" s="175" customFormat="1" ht="15" hidden="1" x14ac:dyDescent="0.2">
      <c r="A2166" s="451" t="s">
        <v>1109</v>
      </c>
      <c r="B2166" s="306" t="s">
        <v>204</v>
      </c>
      <c r="C2166" s="354" t="s">
        <v>607</v>
      </c>
      <c r="D2166" s="354" t="s">
        <v>609</v>
      </c>
      <c r="E2166" s="450" t="s">
        <v>1107</v>
      </c>
      <c r="F2166" s="450"/>
      <c r="G2166" s="498">
        <f>G2167</f>
        <v>0</v>
      </c>
      <c r="H2166" s="498">
        <f>H2167</f>
        <v>0</v>
      </c>
      <c r="I2166" s="591">
        <f>I2167</f>
        <v>0</v>
      </c>
      <c r="J2166" s="591">
        <f>J2167</f>
        <v>0</v>
      </c>
      <c r="K2166" s="591">
        <f t="shared" si="674"/>
        <v>0</v>
      </c>
      <c r="L2166" s="591">
        <f t="shared" si="675"/>
        <v>0</v>
      </c>
      <c r="M2166" s="217">
        <f t="shared" si="701"/>
        <v>0</v>
      </c>
      <c r="N2166" s="178"/>
      <c r="R2166" s="591">
        <f>R2167</f>
        <v>0</v>
      </c>
      <c r="S2166" s="591">
        <f>S2167</f>
        <v>0</v>
      </c>
      <c r="T2166" s="248"/>
      <c r="U2166" s="498">
        <f>U2167</f>
        <v>0</v>
      </c>
      <c r="V2166" s="498">
        <f>V2167</f>
        <v>0</v>
      </c>
      <c r="W2166" s="203">
        <f t="shared" si="702"/>
        <v>0</v>
      </c>
      <c r="X2166" s="203">
        <f t="shared" si="703"/>
        <v>0</v>
      </c>
    </row>
    <row r="2167" spans="1:24" ht="15" hidden="1" x14ac:dyDescent="0.2">
      <c r="A2167" s="124" t="s">
        <v>834</v>
      </c>
      <c r="B2167" s="243" t="s">
        <v>204</v>
      </c>
      <c r="C2167" s="353" t="s">
        <v>607</v>
      </c>
      <c r="D2167" s="353" t="s">
        <v>609</v>
      </c>
      <c r="E2167" s="369" t="s">
        <v>1107</v>
      </c>
      <c r="F2167" s="369" t="s">
        <v>634</v>
      </c>
      <c r="G2167" s="288"/>
      <c r="H2167" s="288">
        <v>0</v>
      </c>
      <c r="I2167" s="288"/>
      <c r="J2167" s="288">
        <v>0</v>
      </c>
      <c r="K2167" s="43">
        <f t="shared" si="674"/>
        <v>0</v>
      </c>
      <c r="L2167" s="43">
        <f t="shared" si="675"/>
        <v>0</v>
      </c>
      <c r="M2167" s="217">
        <f t="shared" si="701"/>
        <v>0</v>
      </c>
      <c r="N2167" s="180"/>
      <c r="R2167" s="288"/>
      <c r="S2167" s="288">
        <v>0</v>
      </c>
      <c r="T2167" s="217"/>
      <c r="U2167" s="288"/>
      <c r="V2167" s="288">
        <v>0</v>
      </c>
      <c r="W2167" s="203">
        <f t="shared" si="702"/>
        <v>0</v>
      </c>
      <c r="X2167" s="203">
        <f t="shared" si="703"/>
        <v>0</v>
      </c>
    </row>
    <row r="2168" spans="1:24" ht="15" hidden="1" x14ac:dyDescent="0.2">
      <c r="A2168" s="451" t="s">
        <v>286</v>
      </c>
      <c r="B2168" s="306" t="s">
        <v>204</v>
      </c>
      <c r="C2168" s="354" t="s">
        <v>8</v>
      </c>
      <c r="D2168" s="354"/>
      <c r="E2168" s="450"/>
      <c r="F2168" s="450"/>
      <c r="G2168" s="498">
        <f t="shared" ref="G2168:J2171" si="704">G2169</f>
        <v>0</v>
      </c>
      <c r="H2168" s="498">
        <f t="shared" si="704"/>
        <v>0</v>
      </c>
      <c r="I2168" s="591">
        <f t="shared" si="704"/>
        <v>0</v>
      </c>
      <c r="J2168" s="591">
        <f t="shared" si="704"/>
        <v>0</v>
      </c>
      <c r="K2168" s="591">
        <f t="shared" si="674"/>
        <v>0</v>
      </c>
      <c r="L2168" s="591">
        <f t="shared" si="675"/>
        <v>0</v>
      </c>
      <c r="M2168" s="217">
        <f t="shared" si="701"/>
        <v>0</v>
      </c>
      <c r="N2168" s="180"/>
      <c r="R2168" s="591">
        <f t="shared" ref="R2168:S2171" si="705">R2169</f>
        <v>0</v>
      </c>
      <c r="S2168" s="591">
        <f t="shared" si="705"/>
        <v>0</v>
      </c>
      <c r="T2168" s="217"/>
      <c r="U2168" s="498">
        <f t="shared" ref="U2168:V2171" si="706">U2169</f>
        <v>0</v>
      </c>
      <c r="V2168" s="498">
        <f t="shared" si="706"/>
        <v>0</v>
      </c>
      <c r="W2168" s="203">
        <f t="shared" si="702"/>
        <v>0</v>
      </c>
      <c r="X2168" s="203">
        <f t="shared" si="703"/>
        <v>0</v>
      </c>
    </row>
    <row r="2169" spans="1:24" ht="15" hidden="1" x14ac:dyDescent="0.2">
      <c r="A2169" s="451" t="s">
        <v>288</v>
      </c>
      <c r="B2169" s="306" t="s">
        <v>204</v>
      </c>
      <c r="C2169" s="354" t="s">
        <v>8</v>
      </c>
      <c r="D2169" s="354" t="s">
        <v>613</v>
      </c>
      <c r="E2169" s="450"/>
      <c r="F2169" s="450"/>
      <c r="G2169" s="498">
        <f>G2170</f>
        <v>0</v>
      </c>
      <c r="H2169" s="498">
        <f t="shared" si="704"/>
        <v>0</v>
      </c>
      <c r="I2169" s="591">
        <f>I2170</f>
        <v>0</v>
      </c>
      <c r="J2169" s="591">
        <f t="shared" si="704"/>
        <v>0</v>
      </c>
      <c r="K2169" s="591">
        <f t="shared" si="674"/>
        <v>0</v>
      </c>
      <c r="L2169" s="591">
        <f t="shared" si="675"/>
        <v>0</v>
      </c>
      <c r="M2169" s="217">
        <f t="shared" si="701"/>
        <v>0</v>
      </c>
      <c r="N2169" s="180"/>
      <c r="R2169" s="591">
        <f t="shared" si="705"/>
        <v>0</v>
      </c>
      <c r="S2169" s="591">
        <f t="shared" si="705"/>
        <v>0</v>
      </c>
      <c r="T2169" s="217"/>
      <c r="U2169" s="498">
        <f t="shared" si="706"/>
        <v>0</v>
      </c>
      <c r="V2169" s="498">
        <f t="shared" si="706"/>
        <v>0</v>
      </c>
      <c r="W2169" s="203">
        <f t="shared" si="702"/>
        <v>0</v>
      </c>
      <c r="X2169" s="203">
        <f t="shared" si="703"/>
        <v>0</v>
      </c>
    </row>
    <row r="2170" spans="1:24" ht="15" hidden="1" x14ac:dyDescent="0.2">
      <c r="A2170" s="451" t="s">
        <v>65</v>
      </c>
      <c r="B2170" s="306" t="s">
        <v>204</v>
      </c>
      <c r="C2170" s="354" t="s">
        <v>8</v>
      </c>
      <c r="D2170" s="354" t="s">
        <v>613</v>
      </c>
      <c r="E2170" s="450" t="s">
        <v>312</v>
      </c>
      <c r="F2170" s="450"/>
      <c r="G2170" s="498">
        <f t="shared" si="704"/>
        <v>0</v>
      </c>
      <c r="H2170" s="498">
        <f t="shared" si="704"/>
        <v>0</v>
      </c>
      <c r="I2170" s="591">
        <f t="shared" si="704"/>
        <v>0</v>
      </c>
      <c r="J2170" s="591">
        <f t="shared" si="704"/>
        <v>0</v>
      </c>
      <c r="K2170" s="591">
        <f t="shared" ref="K2170:K2233" si="707">I2170-G2170</f>
        <v>0</v>
      </c>
      <c r="L2170" s="591">
        <f t="shared" ref="L2170:L2233" si="708">J2170-H2170</f>
        <v>0</v>
      </c>
      <c r="M2170" s="217">
        <f t="shared" si="701"/>
        <v>0</v>
      </c>
      <c r="N2170" s="180"/>
      <c r="R2170" s="591">
        <f t="shared" si="705"/>
        <v>0</v>
      </c>
      <c r="S2170" s="591">
        <f t="shared" si="705"/>
        <v>0</v>
      </c>
      <c r="T2170" s="217"/>
      <c r="U2170" s="498">
        <f t="shared" si="706"/>
        <v>0</v>
      </c>
      <c r="V2170" s="498">
        <f t="shared" si="706"/>
        <v>0</v>
      </c>
      <c r="W2170" s="203">
        <f t="shared" si="702"/>
        <v>0</v>
      </c>
      <c r="X2170" s="203">
        <f t="shared" si="703"/>
        <v>0</v>
      </c>
    </row>
    <row r="2171" spans="1:24" ht="15" hidden="1" x14ac:dyDescent="0.2">
      <c r="A2171" s="451" t="s">
        <v>49</v>
      </c>
      <c r="B2171" s="306" t="s">
        <v>204</v>
      </c>
      <c r="C2171" s="354" t="s">
        <v>8</v>
      </c>
      <c r="D2171" s="354" t="s">
        <v>613</v>
      </c>
      <c r="E2171" s="450" t="s">
        <v>879</v>
      </c>
      <c r="F2171" s="450"/>
      <c r="G2171" s="498">
        <f t="shared" si="704"/>
        <v>0</v>
      </c>
      <c r="H2171" s="498">
        <f t="shared" si="704"/>
        <v>0</v>
      </c>
      <c r="I2171" s="591">
        <f t="shared" si="704"/>
        <v>0</v>
      </c>
      <c r="J2171" s="591">
        <f t="shared" si="704"/>
        <v>0</v>
      </c>
      <c r="K2171" s="591">
        <f t="shared" si="707"/>
        <v>0</v>
      </c>
      <c r="L2171" s="591">
        <f t="shared" si="708"/>
        <v>0</v>
      </c>
      <c r="M2171" s="217">
        <f t="shared" si="701"/>
        <v>0</v>
      </c>
      <c r="N2171" s="180"/>
      <c r="R2171" s="591">
        <f t="shared" si="705"/>
        <v>0</v>
      </c>
      <c r="S2171" s="591">
        <f t="shared" si="705"/>
        <v>0</v>
      </c>
      <c r="T2171" s="217"/>
      <c r="U2171" s="498">
        <f t="shared" si="706"/>
        <v>0</v>
      </c>
      <c r="V2171" s="498">
        <f t="shared" si="706"/>
        <v>0</v>
      </c>
      <c r="W2171" s="203">
        <f t="shared" si="702"/>
        <v>0</v>
      </c>
      <c r="X2171" s="203">
        <f t="shared" si="703"/>
        <v>0</v>
      </c>
    </row>
    <row r="2172" spans="1:24" ht="15" hidden="1" x14ac:dyDescent="0.2">
      <c r="A2172" s="124" t="s">
        <v>834</v>
      </c>
      <c r="B2172" s="243" t="s">
        <v>204</v>
      </c>
      <c r="C2172" s="353" t="s">
        <v>8</v>
      </c>
      <c r="D2172" s="353" t="s">
        <v>613</v>
      </c>
      <c r="E2172" s="369" t="s">
        <v>879</v>
      </c>
      <c r="F2172" s="369" t="s">
        <v>634</v>
      </c>
      <c r="G2172" s="288"/>
      <c r="H2172" s="288"/>
      <c r="I2172" s="288"/>
      <c r="J2172" s="288"/>
      <c r="K2172" s="43">
        <f t="shared" si="707"/>
        <v>0</v>
      </c>
      <c r="L2172" s="43">
        <f t="shared" si="708"/>
        <v>0</v>
      </c>
      <c r="M2172" s="217">
        <f t="shared" si="701"/>
        <v>0</v>
      </c>
      <c r="N2172" s="180"/>
      <c r="R2172" s="288"/>
      <c r="S2172" s="288"/>
      <c r="T2172" s="217"/>
      <c r="U2172" s="288"/>
      <c r="V2172" s="288"/>
      <c r="W2172" s="203">
        <f t="shared" si="702"/>
        <v>0</v>
      </c>
      <c r="X2172" s="203">
        <f t="shared" si="703"/>
        <v>0</v>
      </c>
    </row>
    <row r="2173" spans="1:24" ht="15" hidden="1" x14ac:dyDescent="0.2">
      <c r="A2173" s="451" t="s">
        <v>838</v>
      </c>
      <c r="B2173" s="306" t="s">
        <v>204</v>
      </c>
      <c r="C2173" s="354" t="s">
        <v>621</v>
      </c>
      <c r="D2173" s="354" t="s">
        <v>590</v>
      </c>
      <c r="E2173" s="450"/>
      <c r="F2173" s="450"/>
      <c r="G2173" s="498">
        <f>G2174</f>
        <v>0</v>
      </c>
      <c r="H2173" s="498">
        <f>H2174</f>
        <v>0</v>
      </c>
      <c r="I2173" s="591">
        <f>I2174</f>
        <v>0</v>
      </c>
      <c r="J2173" s="591">
        <f>J2174</f>
        <v>0</v>
      </c>
      <c r="K2173" s="591">
        <f t="shared" si="707"/>
        <v>0</v>
      </c>
      <c r="L2173" s="591">
        <f t="shared" si="708"/>
        <v>0</v>
      </c>
      <c r="M2173" s="217">
        <f t="shared" si="701"/>
        <v>0</v>
      </c>
      <c r="N2173" s="127" t="e">
        <f>N2174</f>
        <v>#REF!</v>
      </c>
      <c r="R2173" s="591">
        <f>R2174</f>
        <v>0</v>
      </c>
      <c r="S2173" s="591">
        <f>S2174</f>
        <v>0</v>
      </c>
      <c r="T2173" s="217">
        <f>I2173-G2173</f>
        <v>0</v>
      </c>
      <c r="U2173" s="498">
        <f>U2174</f>
        <v>3179.1549999999997</v>
      </c>
      <c r="V2173" s="498">
        <f>V2174</f>
        <v>0</v>
      </c>
      <c r="W2173" s="203">
        <f t="shared" si="702"/>
        <v>0</v>
      </c>
      <c r="X2173" s="203">
        <f t="shared" si="703"/>
        <v>0</v>
      </c>
    </row>
    <row r="2174" spans="1:24" ht="15" hidden="1" x14ac:dyDescent="0.2">
      <c r="A2174" s="451" t="s">
        <v>11</v>
      </c>
      <c r="B2174" s="306" t="s">
        <v>204</v>
      </c>
      <c r="C2174" s="354" t="s">
        <v>621</v>
      </c>
      <c r="D2174" s="354" t="s">
        <v>606</v>
      </c>
      <c r="E2174" s="450"/>
      <c r="F2174" s="450"/>
      <c r="G2174" s="498">
        <f>G2195+G2175+G2180+G2190</f>
        <v>0</v>
      </c>
      <c r="H2174" s="498">
        <f>H2195+H2175+H2180+H2190</f>
        <v>0</v>
      </c>
      <c r="I2174" s="591">
        <f>I2195+I2175+I2180+I2190</f>
        <v>0</v>
      </c>
      <c r="J2174" s="591">
        <f>J2195+J2175+J2180+J2190</f>
        <v>0</v>
      </c>
      <c r="K2174" s="591">
        <f t="shared" si="707"/>
        <v>0</v>
      </c>
      <c r="L2174" s="591">
        <f t="shared" si="708"/>
        <v>0</v>
      </c>
      <c r="M2174" s="217">
        <f t="shared" si="701"/>
        <v>0</v>
      </c>
      <c r="N2174" s="127" t="e">
        <f>N2195</f>
        <v>#REF!</v>
      </c>
      <c r="R2174" s="591">
        <f>R2195+R2175+R2180+R2190</f>
        <v>0</v>
      </c>
      <c r="S2174" s="591">
        <f>S2195+S2175+S2180+S2190</f>
        <v>0</v>
      </c>
      <c r="T2174" s="217">
        <f>I2174-G2174</f>
        <v>0</v>
      </c>
      <c r="U2174" s="498">
        <f>U2195+U2175+U2180+U2190</f>
        <v>3179.1549999999997</v>
      </c>
      <c r="V2174" s="498">
        <f>V2195+V2175+V2180+V2190</f>
        <v>0</v>
      </c>
      <c r="W2174" s="203">
        <f t="shared" si="702"/>
        <v>0</v>
      </c>
      <c r="X2174" s="203">
        <f t="shared" si="703"/>
        <v>0</v>
      </c>
    </row>
    <row r="2175" spans="1:24" s="307" customFormat="1" ht="12" hidden="1" customHeight="1" x14ac:dyDescent="0.2">
      <c r="A2175" s="451" t="s">
        <v>318</v>
      </c>
      <c r="B2175" s="306" t="s">
        <v>204</v>
      </c>
      <c r="C2175" s="354" t="s">
        <v>621</v>
      </c>
      <c r="D2175" s="354" t="s">
        <v>606</v>
      </c>
      <c r="E2175" s="450" t="s">
        <v>323</v>
      </c>
      <c r="F2175" s="450"/>
      <c r="G2175" s="498">
        <f t="shared" ref="G2175:J2177" si="709">G2176</f>
        <v>0</v>
      </c>
      <c r="H2175" s="498">
        <f t="shared" si="709"/>
        <v>0</v>
      </c>
      <c r="I2175" s="591">
        <f t="shared" si="709"/>
        <v>0</v>
      </c>
      <c r="J2175" s="591">
        <f t="shared" si="709"/>
        <v>0</v>
      </c>
      <c r="K2175" s="591">
        <f t="shared" si="707"/>
        <v>0</v>
      </c>
      <c r="L2175" s="591">
        <f t="shared" si="708"/>
        <v>0</v>
      </c>
      <c r="M2175" s="217">
        <f t="shared" si="701"/>
        <v>0</v>
      </c>
      <c r="N2175" s="308">
        <f>N2176</f>
        <v>0</v>
      </c>
      <c r="R2175" s="591">
        <f t="shared" ref="R2175:S2177" si="710">R2176</f>
        <v>0</v>
      </c>
      <c r="S2175" s="591">
        <f t="shared" si="710"/>
        <v>0</v>
      </c>
      <c r="T2175" s="309">
        <f>I2175-G2175</f>
        <v>0</v>
      </c>
      <c r="U2175" s="498">
        <f t="shared" ref="U2175:V2178" si="711">U2176</f>
        <v>0</v>
      </c>
      <c r="V2175" s="498">
        <f t="shared" si="711"/>
        <v>0</v>
      </c>
      <c r="W2175" s="310">
        <f t="shared" si="702"/>
        <v>0</v>
      </c>
      <c r="X2175" s="310">
        <f t="shared" si="703"/>
        <v>0</v>
      </c>
    </row>
    <row r="2176" spans="1:24" s="307" customFormat="1" ht="27" hidden="1" customHeight="1" x14ac:dyDescent="0.2">
      <c r="A2176" s="451" t="s">
        <v>717</v>
      </c>
      <c r="B2176" s="306" t="s">
        <v>204</v>
      </c>
      <c r="C2176" s="354" t="s">
        <v>621</v>
      </c>
      <c r="D2176" s="354" t="s">
        <v>606</v>
      </c>
      <c r="E2176" s="450" t="s">
        <v>714</v>
      </c>
      <c r="F2176" s="450"/>
      <c r="G2176" s="498">
        <f t="shared" si="709"/>
        <v>0</v>
      </c>
      <c r="H2176" s="498">
        <f t="shared" si="709"/>
        <v>0</v>
      </c>
      <c r="I2176" s="591">
        <f t="shared" si="709"/>
        <v>0</v>
      </c>
      <c r="J2176" s="591">
        <f t="shared" si="709"/>
        <v>0</v>
      </c>
      <c r="K2176" s="591">
        <f t="shared" si="707"/>
        <v>0</v>
      </c>
      <c r="L2176" s="591">
        <f t="shared" si="708"/>
        <v>0</v>
      </c>
      <c r="M2176" s="217">
        <f t="shared" si="701"/>
        <v>0</v>
      </c>
      <c r="N2176" s="308"/>
      <c r="R2176" s="591">
        <f t="shared" si="710"/>
        <v>0</v>
      </c>
      <c r="S2176" s="591">
        <f t="shared" si="710"/>
        <v>0</v>
      </c>
      <c r="T2176" s="309"/>
      <c r="U2176" s="498">
        <f t="shared" si="711"/>
        <v>0</v>
      </c>
      <c r="V2176" s="498">
        <f t="shared" si="711"/>
        <v>0</v>
      </c>
      <c r="W2176" s="310">
        <f t="shared" si="702"/>
        <v>0</v>
      </c>
      <c r="X2176" s="310">
        <f t="shared" si="703"/>
        <v>0</v>
      </c>
    </row>
    <row r="2177" spans="1:24" s="307" customFormat="1" ht="27" hidden="1" customHeight="1" x14ac:dyDescent="0.2">
      <c r="A2177" s="451" t="s">
        <v>1213</v>
      </c>
      <c r="B2177" s="306" t="s">
        <v>204</v>
      </c>
      <c r="C2177" s="354" t="s">
        <v>621</v>
      </c>
      <c r="D2177" s="354" t="s">
        <v>606</v>
      </c>
      <c r="E2177" s="450" t="s">
        <v>1195</v>
      </c>
      <c r="F2177" s="450"/>
      <c r="G2177" s="498">
        <f t="shared" si="709"/>
        <v>0</v>
      </c>
      <c r="H2177" s="498">
        <f t="shared" si="709"/>
        <v>0</v>
      </c>
      <c r="I2177" s="591">
        <f t="shared" si="709"/>
        <v>0</v>
      </c>
      <c r="J2177" s="591">
        <f t="shared" si="709"/>
        <v>0</v>
      </c>
      <c r="K2177" s="591">
        <f t="shared" si="707"/>
        <v>0</v>
      </c>
      <c r="L2177" s="591">
        <f t="shared" si="708"/>
        <v>0</v>
      </c>
      <c r="M2177" s="217">
        <f t="shared" si="701"/>
        <v>0</v>
      </c>
      <c r="N2177" s="292">
        <f>N2197+N2178</f>
        <v>0</v>
      </c>
      <c r="R2177" s="591">
        <f t="shared" si="710"/>
        <v>0</v>
      </c>
      <c r="S2177" s="591">
        <f t="shared" si="710"/>
        <v>0</v>
      </c>
      <c r="T2177" s="309">
        <f>I2177-G2177</f>
        <v>0</v>
      </c>
      <c r="U2177" s="498">
        <f t="shared" si="711"/>
        <v>0</v>
      </c>
      <c r="V2177" s="498">
        <f t="shared" si="711"/>
        <v>0</v>
      </c>
      <c r="W2177" s="310">
        <f t="shared" si="702"/>
        <v>0</v>
      </c>
      <c r="X2177" s="310">
        <f t="shared" si="703"/>
        <v>0</v>
      </c>
    </row>
    <row r="2178" spans="1:24" s="307" customFormat="1" ht="12" hidden="1" customHeight="1" x14ac:dyDescent="0.2">
      <c r="A2178" s="451" t="s">
        <v>294</v>
      </c>
      <c r="B2178" s="306" t="s">
        <v>204</v>
      </c>
      <c r="C2178" s="354" t="s">
        <v>621</v>
      </c>
      <c r="D2178" s="354" t="s">
        <v>606</v>
      </c>
      <c r="E2178" s="450" t="s">
        <v>992</v>
      </c>
      <c r="F2178" s="450"/>
      <c r="G2178" s="498">
        <f>G2179</f>
        <v>0</v>
      </c>
      <c r="H2178" s="498">
        <f>H2179</f>
        <v>0</v>
      </c>
      <c r="I2178" s="591">
        <f>I2179</f>
        <v>0</v>
      </c>
      <c r="J2178" s="591">
        <f>J2179</f>
        <v>0</v>
      </c>
      <c r="K2178" s="591">
        <f t="shared" si="707"/>
        <v>0</v>
      </c>
      <c r="L2178" s="591">
        <f t="shared" si="708"/>
        <v>0</v>
      </c>
      <c r="M2178" s="217">
        <f t="shared" si="701"/>
        <v>0</v>
      </c>
      <c r="N2178" s="308"/>
      <c r="R2178" s="591">
        <f>R2179</f>
        <v>0</v>
      </c>
      <c r="S2178" s="591">
        <f>S2179</f>
        <v>0</v>
      </c>
      <c r="T2178" s="309"/>
      <c r="U2178" s="498">
        <f t="shared" si="711"/>
        <v>0</v>
      </c>
      <c r="V2178" s="498">
        <f t="shared" si="711"/>
        <v>0</v>
      </c>
      <c r="W2178" s="310">
        <f t="shared" si="702"/>
        <v>0</v>
      </c>
      <c r="X2178" s="310">
        <f t="shared" si="703"/>
        <v>0</v>
      </c>
    </row>
    <row r="2179" spans="1:24" ht="12" hidden="1" customHeight="1" x14ac:dyDescent="0.2">
      <c r="A2179" s="124" t="s">
        <v>164</v>
      </c>
      <c r="B2179" s="364">
        <v>961</v>
      </c>
      <c r="C2179" s="353" t="s">
        <v>621</v>
      </c>
      <c r="D2179" s="353" t="s">
        <v>606</v>
      </c>
      <c r="E2179" s="369" t="s">
        <v>992</v>
      </c>
      <c r="F2179" s="369" t="s">
        <v>132</v>
      </c>
      <c r="G2179" s="288"/>
      <c r="H2179" s="288"/>
      <c r="I2179" s="288"/>
      <c r="J2179" s="288"/>
      <c r="K2179" s="43">
        <f t="shared" si="707"/>
        <v>0</v>
      </c>
      <c r="L2179" s="43">
        <f t="shared" si="708"/>
        <v>0</v>
      </c>
      <c r="M2179" s="217">
        <f t="shared" si="701"/>
        <v>0</v>
      </c>
      <c r="N2179" s="171"/>
      <c r="R2179" s="288"/>
      <c r="S2179" s="288"/>
      <c r="T2179" s="217"/>
      <c r="U2179" s="288"/>
      <c r="V2179" s="288"/>
      <c r="W2179" s="203">
        <f t="shared" si="702"/>
        <v>0</v>
      </c>
      <c r="X2179" s="203">
        <f t="shared" si="703"/>
        <v>0</v>
      </c>
    </row>
    <row r="2180" spans="1:24" ht="12" hidden="1" customHeight="1" x14ac:dyDescent="0.2">
      <c r="A2180" s="121" t="s">
        <v>1239</v>
      </c>
      <c r="B2180" s="392">
        <v>961</v>
      </c>
      <c r="C2180" s="389" t="s">
        <v>621</v>
      </c>
      <c r="D2180" s="389" t="s">
        <v>606</v>
      </c>
      <c r="E2180" s="390">
        <v>8000000000</v>
      </c>
      <c r="F2180" s="390"/>
      <c r="G2180" s="391">
        <f>G2181+G2184+G2187</f>
        <v>0</v>
      </c>
      <c r="H2180" s="391">
        <f>H2181+H2184+H2187</f>
        <v>0</v>
      </c>
      <c r="I2180" s="391">
        <f>I2181+I2184+I2187</f>
        <v>0</v>
      </c>
      <c r="J2180" s="391">
        <f>J2181+J2184+J2187</f>
        <v>0</v>
      </c>
      <c r="K2180" s="391">
        <f t="shared" si="707"/>
        <v>0</v>
      </c>
      <c r="L2180" s="391">
        <f t="shared" si="708"/>
        <v>0</v>
      </c>
      <c r="M2180" s="217">
        <f t="shared" ref="M2180:M2248" si="712">I2180-G2180-K2180</f>
        <v>0</v>
      </c>
      <c r="N2180" s="171"/>
      <c r="R2180" s="391">
        <f>R2181+R2184+R2187</f>
        <v>0</v>
      </c>
      <c r="S2180" s="391">
        <f>S2181+S2184+S2187</f>
        <v>0</v>
      </c>
      <c r="T2180" s="217"/>
      <c r="U2180" s="391">
        <f>U2181+U2184+U2187</f>
        <v>1728.95</v>
      </c>
      <c r="V2180" s="391">
        <f>V2181+V2184+V2187</f>
        <v>0</v>
      </c>
      <c r="W2180" s="203"/>
      <c r="X2180" s="203"/>
    </row>
    <row r="2181" spans="1:24" ht="12" hidden="1" customHeight="1" x14ac:dyDescent="0.2">
      <c r="A2181" s="121" t="s">
        <v>1240</v>
      </c>
      <c r="B2181" s="392">
        <v>961</v>
      </c>
      <c r="C2181" s="389" t="s">
        <v>621</v>
      </c>
      <c r="D2181" s="389" t="s">
        <v>606</v>
      </c>
      <c r="E2181" s="390">
        <v>8000200000</v>
      </c>
      <c r="F2181" s="390"/>
      <c r="G2181" s="391">
        <f t="shared" ref="G2181:J2182" si="713">G2182</f>
        <v>0</v>
      </c>
      <c r="H2181" s="391">
        <f t="shared" si="713"/>
        <v>0</v>
      </c>
      <c r="I2181" s="391">
        <f t="shared" si="713"/>
        <v>0</v>
      </c>
      <c r="J2181" s="391">
        <f t="shared" si="713"/>
        <v>0</v>
      </c>
      <c r="K2181" s="391">
        <f t="shared" si="707"/>
        <v>0</v>
      </c>
      <c r="L2181" s="391">
        <f t="shared" si="708"/>
        <v>0</v>
      </c>
      <c r="M2181" s="217">
        <f t="shared" si="712"/>
        <v>0</v>
      </c>
      <c r="N2181" s="171"/>
      <c r="R2181" s="391">
        <f>R2182</f>
        <v>0</v>
      </c>
      <c r="S2181" s="391">
        <f>S2182</f>
        <v>0</v>
      </c>
      <c r="T2181" s="217"/>
      <c r="U2181" s="391">
        <f>U2182</f>
        <v>0</v>
      </c>
      <c r="V2181" s="391">
        <f>V2182</f>
        <v>0</v>
      </c>
      <c r="W2181" s="203"/>
      <c r="X2181" s="203"/>
    </row>
    <row r="2182" spans="1:24" ht="12" hidden="1" customHeight="1" x14ac:dyDescent="0.2">
      <c r="A2182" s="121" t="s">
        <v>1109</v>
      </c>
      <c r="B2182" s="392">
        <v>961</v>
      </c>
      <c r="C2182" s="389" t="s">
        <v>621</v>
      </c>
      <c r="D2182" s="389" t="s">
        <v>606</v>
      </c>
      <c r="E2182" s="390" t="s">
        <v>1242</v>
      </c>
      <c r="F2182" s="390"/>
      <c r="G2182" s="391">
        <f t="shared" si="713"/>
        <v>0</v>
      </c>
      <c r="H2182" s="391">
        <f t="shared" si="713"/>
        <v>0</v>
      </c>
      <c r="I2182" s="391">
        <f t="shared" si="713"/>
        <v>0</v>
      </c>
      <c r="J2182" s="391">
        <f t="shared" si="713"/>
        <v>0</v>
      </c>
      <c r="K2182" s="391">
        <f t="shared" si="707"/>
        <v>0</v>
      </c>
      <c r="L2182" s="391">
        <f t="shared" si="708"/>
        <v>0</v>
      </c>
      <c r="M2182" s="217">
        <f t="shared" si="712"/>
        <v>0</v>
      </c>
      <c r="N2182" s="171"/>
      <c r="R2182" s="391">
        <f>R2183</f>
        <v>0</v>
      </c>
      <c r="S2182" s="391">
        <f>S2183</f>
        <v>0</v>
      </c>
      <c r="T2182" s="217"/>
      <c r="U2182" s="391">
        <f>U2183</f>
        <v>0</v>
      </c>
      <c r="V2182" s="391">
        <f>V2183</f>
        <v>0</v>
      </c>
      <c r="W2182" s="203"/>
      <c r="X2182" s="203"/>
    </row>
    <row r="2183" spans="1:24" ht="12" hidden="1" customHeight="1" x14ac:dyDescent="0.2">
      <c r="A2183" s="124" t="s">
        <v>164</v>
      </c>
      <c r="B2183" s="364">
        <v>961</v>
      </c>
      <c r="C2183" s="353" t="s">
        <v>621</v>
      </c>
      <c r="D2183" s="353" t="s">
        <v>606</v>
      </c>
      <c r="E2183" s="369" t="s">
        <v>1242</v>
      </c>
      <c r="F2183" s="369">
        <v>540</v>
      </c>
      <c r="G2183" s="288"/>
      <c r="H2183" s="288"/>
      <c r="I2183" s="288"/>
      <c r="J2183" s="288"/>
      <c r="K2183" s="43">
        <f t="shared" si="707"/>
        <v>0</v>
      </c>
      <c r="L2183" s="43">
        <f t="shared" si="708"/>
        <v>0</v>
      </c>
      <c r="M2183" s="217">
        <f t="shared" si="712"/>
        <v>0</v>
      </c>
      <c r="N2183" s="171"/>
      <c r="R2183" s="288"/>
      <c r="S2183" s="288"/>
      <c r="T2183" s="217"/>
      <c r="U2183" s="288"/>
      <c r="V2183" s="288"/>
      <c r="W2183" s="203"/>
      <c r="X2183" s="203"/>
    </row>
    <row r="2184" spans="1:24" ht="12" hidden="1" customHeight="1" x14ac:dyDescent="0.2">
      <c r="A2184" s="121" t="s">
        <v>1241</v>
      </c>
      <c r="B2184" s="392">
        <v>961</v>
      </c>
      <c r="C2184" s="389" t="s">
        <v>621</v>
      </c>
      <c r="D2184" s="389" t="s">
        <v>606</v>
      </c>
      <c r="E2184" s="390">
        <v>8000600000</v>
      </c>
      <c r="F2184" s="390"/>
      <c r="G2184" s="391">
        <f t="shared" ref="G2184:J2185" si="714">G2185</f>
        <v>0</v>
      </c>
      <c r="H2184" s="391">
        <f t="shared" si="714"/>
        <v>0</v>
      </c>
      <c r="I2184" s="391">
        <f t="shared" si="714"/>
        <v>0</v>
      </c>
      <c r="J2184" s="391">
        <f t="shared" si="714"/>
        <v>0</v>
      </c>
      <c r="K2184" s="391">
        <f t="shared" si="707"/>
        <v>0</v>
      </c>
      <c r="L2184" s="391">
        <f t="shared" si="708"/>
        <v>0</v>
      </c>
      <c r="M2184" s="217">
        <f t="shared" si="712"/>
        <v>0</v>
      </c>
      <c r="N2184" s="171"/>
      <c r="R2184" s="391">
        <f>R2185</f>
        <v>0</v>
      </c>
      <c r="S2184" s="391">
        <f>S2185</f>
        <v>0</v>
      </c>
      <c r="T2184" s="217"/>
      <c r="U2184" s="391">
        <f>U2185</f>
        <v>1728.95</v>
      </c>
      <c r="V2184" s="391">
        <f>V2185</f>
        <v>0</v>
      </c>
      <c r="W2184" s="203"/>
      <c r="X2184" s="203"/>
    </row>
    <row r="2185" spans="1:24" ht="12" hidden="1" customHeight="1" x14ac:dyDescent="0.2">
      <c r="A2185" s="121" t="s">
        <v>1108</v>
      </c>
      <c r="B2185" s="392">
        <v>961</v>
      </c>
      <c r="C2185" s="389" t="s">
        <v>621</v>
      </c>
      <c r="D2185" s="389" t="s">
        <v>606</v>
      </c>
      <c r="E2185" s="390" t="s">
        <v>1243</v>
      </c>
      <c r="F2185" s="390"/>
      <c r="G2185" s="391">
        <f t="shared" si="714"/>
        <v>0</v>
      </c>
      <c r="H2185" s="391">
        <f t="shared" si="714"/>
        <v>0</v>
      </c>
      <c r="I2185" s="391">
        <f t="shared" si="714"/>
        <v>0</v>
      </c>
      <c r="J2185" s="391">
        <f t="shared" si="714"/>
        <v>0</v>
      </c>
      <c r="K2185" s="391">
        <f t="shared" si="707"/>
        <v>0</v>
      </c>
      <c r="L2185" s="391">
        <f t="shared" si="708"/>
        <v>0</v>
      </c>
      <c r="M2185" s="217">
        <f t="shared" si="712"/>
        <v>0</v>
      </c>
      <c r="N2185" s="171"/>
      <c r="R2185" s="391">
        <f>R2186</f>
        <v>0</v>
      </c>
      <c r="S2185" s="391">
        <f>S2186</f>
        <v>0</v>
      </c>
      <c r="T2185" s="217"/>
      <c r="U2185" s="391">
        <f>U2186</f>
        <v>1728.95</v>
      </c>
      <c r="V2185" s="391">
        <f>V2186</f>
        <v>0</v>
      </c>
      <c r="W2185" s="203"/>
      <c r="X2185" s="203"/>
    </row>
    <row r="2186" spans="1:24" ht="12" hidden="1" customHeight="1" x14ac:dyDescent="0.2">
      <c r="A2186" s="124" t="s">
        <v>164</v>
      </c>
      <c r="B2186" s="364">
        <v>961</v>
      </c>
      <c r="C2186" s="353" t="s">
        <v>621</v>
      </c>
      <c r="D2186" s="353" t="s">
        <v>606</v>
      </c>
      <c r="E2186" s="369" t="s">
        <v>1243</v>
      </c>
      <c r="F2186" s="369">
        <v>540</v>
      </c>
      <c r="G2186" s="288"/>
      <c r="H2186" s="288">
        <v>0</v>
      </c>
      <c r="I2186" s="288"/>
      <c r="J2186" s="288">
        <v>0</v>
      </c>
      <c r="K2186" s="43">
        <f t="shared" si="707"/>
        <v>0</v>
      </c>
      <c r="L2186" s="43">
        <f t="shared" si="708"/>
        <v>0</v>
      </c>
      <c r="M2186" s="217">
        <f t="shared" si="712"/>
        <v>0</v>
      </c>
      <c r="N2186" s="171"/>
      <c r="R2186" s="288"/>
      <c r="S2186" s="288">
        <v>0</v>
      </c>
      <c r="T2186" s="217"/>
      <c r="U2186" s="288">
        <v>1728.95</v>
      </c>
      <c r="V2186" s="288">
        <v>0</v>
      </c>
      <c r="W2186" s="203"/>
      <c r="X2186" s="203"/>
    </row>
    <row r="2187" spans="1:24" ht="12" hidden="1" customHeight="1" x14ac:dyDescent="0.2">
      <c r="A2187" s="121" t="s">
        <v>1358</v>
      </c>
      <c r="B2187" s="392">
        <v>961</v>
      </c>
      <c r="C2187" s="389" t="s">
        <v>621</v>
      </c>
      <c r="D2187" s="389" t="s">
        <v>606</v>
      </c>
      <c r="E2187" s="390">
        <v>8001000000</v>
      </c>
      <c r="F2187" s="390"/>
      <c r="G2187" s="391">
        <f t="shared" ref="G2187:J2188" si="715">G2188</f>
        <v>0</v>
      </c>
      <c r="H2187" s="391">
        <f t="shared" si="715"/>
        <v>0</v>
      </c>
      <c r="I2187" s="391">
        <f t="shared" si="715"/>
        <v>0</v>
      </c>
      <c r="J2187" s="391">
        <f t="shared" si="715"/>
        <v>0</v>
      </c>
      <c r="K2187" s="391">
        <f t="shared" si="707"/>
        <v>0</v>
      </c>
      <c r="L2187" s="391">
        <f t="shared" si="708"/>
        <v>0</v>
      </c>
      <c r="M2187" s="217">
        <f t="shared" si="712"/>
        <v>0</v>
      </c>
      <c r="N2187" s="171"/>
      <c r="R2187" s="391">
        <f>R2188</f>
        <v>0</v>
      </c>
      <c r="S2187" s="391">
        <f>S2188</f>
        <v>0</v>
      </c>
      <c r="T2187" s="217"/>
      <c r="U2187" s="391">
        <f>U2188</f>
        <v>0</v>
      </c>
      <c r="V2187" s="391">
        <f>V2188</f>
        <v>0</v>
      </c>
      <c r="W2187" s="203"/>
      <c r="X2187" s="203"/>
    </row>
    <row r="2188" spans="1:24" ht="12" hidden="1" customHeight="1" x14ac:dyDescent="0.2">
      <c r="A2188" s="121" t="s">
        <v>1359</v>
      </c>
      <c r="B2188" s="392">
        <v>961</v>
      </c>
      <c r="C2188" s="389" t="s">
        <v>621</v>
      </c>
      <c r="D2188" s="389" t="s">
        <v>606</v>
      </c>
      <c r="E2188" s="390" t="s">
        <v>1357</v>
      </c>
      <c r="F2188" s="390"/>
      <c r="G2188" s="391">
        <f t="shared" si="715"/>
        <v>0</v>
      </c>
      <c r="H2188" s="391">
        <f t="shared" si="715"/>
        <v>0</v>
      </c>
      <c r="I2188" s="391">
        <f t="shared" si="715"/>
        <v>0</v>
      </c>
      <c r="J2188" s="391">
        <f t="shared" si="715"/>
        <v>0</v>
      </c>
      <c r="K2188" s="391">
        <f t="shared" si="707"/>
        <v>0</v>
      </c>
      <c r="L2188" s="391">
        <f t="shared" si="708"/>
        <v>0</v>
      </c>
      <c r="M2188" s="217">
        <f t="shared" si="712"/>
        <v>0</v>
      </c>
      <c r="N2188" s="171"/>
      <c r="R2188" s="391">
        <f>R2189</f>
        <v>0</v>
      </c>
      <c r="S2188" s="391">
        <f>S2189</f>
        <v>0</v>
      </c>
      <c r="T2188" s="217"/>
      <c r="U2188" s="391">
        <f>U2189</f>
        <v>0</v>
      </c>
      <c r="V2188" s="391">
        <f>V2189</f>
        <v>0</v>
      </c>
      <c r="W2188" s="203"/>
      <c r="X2188" s="203"/>
    </row>
    <row r="2189" spans="1:24" ht="12" hidden="1" customHeight="1" x14ac:dyDescent="0.2">
      <c r="A2189" s="124" t="s">
        <v>164</v>
      </c>
      <c r="B2189" s="364">
        <v>961</v>
      </c>
      <c r="C2189" s="353" t="s">
        <v>621</v>
      </c>
      <c r="D2189" s="353" t="s">
        <v>606</v>
      </c>
      <c r="E2189" s="369" t="s">
        <v>1357</v>
      </c>
      <c r="F2189" s="369">
        <v>540</v>
      </c>
      <c r="G2189" s="288">
        <v>0</v>
      </c>
      <c r="H2189" s="288">
        <v>0</v>
      </c>
      <c r="I2189" s="288">
        <v>0</v>
      </c>
      <c r="J2189" s="288">
        <v>0</v>
      </c>
      <c r="K2189" s="264">
        <f t="shared" si="707"/>
        <v>0</v>
      </c>
      <c r="L2189" s="130">
        <f t="shared" si="708"/>
        <v>0</v>
      </c>
      <c r="M2189" s="217">
        <f t="shared" si="712"/>
        <v>0</v>
      </c>
      <c r="N2189" s="171"/>
      <c r="R2189" s="288">
        <v>0</v>
      </c>
      <c r="S2189" s="288">
        <v>0</v>
      </c>
      <c r="T2189" s="217"/>
      <c r="U2189" s="288">
        <v>0</v>
      </c>
      <c r="V2189" s="288">
        <v>0</v>
      </c>
      <c r="W2189" s="203"/>
      <c r="X2189" s="203"/>
    </row>
    <row r="2190" spans="1:24" ht="30" hidden="1" customHeight="1" x14ac:dyDescent="0.2">
      <c r="A2190" s="451" t="s">
        <v>1318</v>
      </c>
      <c r="B2190" s="306" t="s">
        <v>204</v>
      </c>
      <c r="C2190" s="354" t="s">
        <v>621</v>
      </c>
      <c r="D2190" s="354" t="s">
        <v>606</v>
      </c>
      <c r="E2190" s="450" t="s">
        <v>856</v>
      </c>
      <c r="F2190" s="450"/>
      <c r="G2190" s="498">
        <f t="shared" ref="G2190:J2193" si="716">G2191</f>
        <v>0</v>
      </c>
      <c r="H2190" s="498">
        <f t="shared" si="716"/>
        <v>0</v>
      </c>
      <c r="I2190" s="591">
        <f t="shared" si="716"/>
        <v>0</v>
      </c>
      <c r="J2190" s="591">
        <f t="shared" si="716"/>
        <v>0</v>
      </c>
      <c r="K2190" s="591">
        <f t="shared" si="707"/>
        <v>0</v>
      </c>
      <c r="L2190" s="591">
        <f t="shared" si="708"/>
        <v>0</v>
      </c>
      <c r="M2190" s="217">
        <f t="shared" si="712"/>
        <v>0</v>
      </c>
      <c r="N2190" s="171"/>
      <c r="R2190" s="591">
        <f t="shared" ref="R2190:S2193" si="717">R2191</f>
        <v>0</v>
      </c>
      <c r="S2190" s="591">
        <f t="shared" si="717"/>
        <v>0</v>
      </c>
      <c r="T2190" s="217"/>
      <c r="U2190" s="498">
        <f t="shared" ref="U2190:V2193" si="718">U2191</f>
        <v>0</v>
      </c>
      <c r="V2190" s="498">
        <f t="shared" si="718"/>
        <v>0</v>
      </c>
      <c r="W2190" s="203"/>
      <c r="X2190" s="203"/>
    </row>
    <row r="2191" spans="1:24" ht="26.25" hidden="1" customHeight="1" x14ac:dyDescent="0.2">
      <c r="A2191" s="451" t="s">
        <v>1319</v>
      </c>
      <c r="B2191" s="306" t="s">
        <v>204</v>
      </c>
      <c r="C2191" s="354" t="s">
        <v>621</v>
      </c>
      <c r="D2191" s="354" t="s">
        <v>606</v>
      </c>
      <c r="E2191" s="450" t="s">
        <v>857</v>
      </c>
      <c r="F2191" s="450"/>
      <c r="G2191" s="498">
        <f t="shared" si="716"/>
        <v>0</v>
      </c>
      <c r="H2191" s="498">
        <f t="shared" si="716"/>
        <v>0</v>
      </c>
      <c r="I2191" s="591">
        <f t="shared" si="716"/>
        <v>0</v>
      </c>
      <c r="J2191" s="591">
        <f t="shared" si="716"/>
        <v>0</v>
      </c>
      <c r="K2191" s="591">
        <f t="shared" si="707"/>
        <v>0</v>
      </c>
      <c r="L2191" s="591">
        <f t="shared" si="708"/>
        <v>0</v>
      </c>
      <c r="M2191" s="217">
        <f t="shared" si="712"/>
        <v>0</v>
      </c>
      <c r="N2191" s="171"/>
      <c r="R2191" s="591">
        <f t="shared" si="717"/>
        <v>0</v>
      </c>
      <c r="S2191" s="591">
        <f t="shared" si="717"/>
        <v>0</v>
      </c>
      <c r="T2191" s="217"/>
      <c r="U2191" s="498">
        <f t="shared" si="718"/>
        <v>0</v>
      </c>
      <c r="V2191" s="498">
        <f t="shared" si="718"/>
        <v>0</v>
      </c>
      <c r="W2191" s="203"/>
      <c r="X2191" s="203"/>
    </row>
    <row r="2192" spans="1:24" ht="27" hidden="1" customHeight="1" x14ac:dyDescent="0.2">
      <c r="A2192" s="451" t="s">
        <v>1288</v>
      </c>
      <c r="B2192" s="306" t="s">
        <v>204</v>
      </c>
      <c r="C2192" s="354" t="s">
        <v>621</v>
      </c>
      <c r="D2192" s="354" t="s">
        <v>606</v>
      </c>
      <c r="E2192" s="450">
        <v>8521000000</v>
      </c>
      <c r="F2192" s="450"/>
      <c r="G2192" s="498">
        <f t="shared" si="716"/>
        <v>0</v>
      </c>
      <c r="H2192" s="498">
        <f t="shared" si="716"/>
        <v>0</v>
      </c>
      <c r="I2192" s="591">
        <f t="shared" si="716"/>
        <v>0</v>
      </c>
      <c r="J2192" s="591">
        <f t="shared" si="716"/>
        <v>0</v>
      </c>
      <c r="K2192" s="591">
        <f t="shared" si="707"/>
        <v>0</v>
      </c>
      <c r="L2192" s="591">
        <f t="shared" si="708"/>
        <v>0</v>
      </c>
      <c r="M2192" s="217">
        <f t="shared" si="712"/>
        <v>0</v>
      </c>
      <c r="N2192" s="171"/>
      <c r="R2192" s="591">
        <f t="shared" si="717"/>
        <v>0</v>
      </c>
      <c r="S2192" s="591">
        <f t="shared" si="717"/>
        <v>0</v>
      </c>
      <c r="T2192" s="217"/>
      <c r="U2192" s="498">
        <f t="shared" si="718"/>
        <v>0</v>
      </c>
      <c r="V2192" s="498">
        <f t="shared" si="718"/>
        <v>0</v>
      </c>
      <c r="W2192" s="203"/>
      <c r="X2192" s="203"/>
    </row>
    <row r="2193" spans="1:24" ht="28.5" hidden="1" customHeight="1" x14ac:dyDescent="0.2">
      <c r="A2193" s="451" t="s">
        <v>1214</v>
      </c>
      <c r="B2193" s="306" t="s">
        <v>204</v>
      </c>
      <c r="C2193" s="354" t="s">
        <v>621</v>
      </c>
      <c r="D2193" s="354" t="s">
        <v>606</v>
      </c>
      <c r="E2193" s="450" t="s">
        <v>1253</v>
      </c>
      <c r="F2193" s="450"/>
      <c r="G2193" s="498">
        <f t="shared" si="716"/>
        <v>0</v>
      </c>
      <c r="H2193" s="498">
        <f t="shared" si="716"/>
        <v>0</v>
      </c>
      <c r="I2193" s="591">
        <f t="shared" si="716"/>
        <v>0</v>
      </c>
      <c r="J2193" s="591">
        <f t="shared" si="716"/>
        <v>0</v>
      </c>
      <c r="K2193" s="591">
        <f t="shared" si="707"/>
        <v>0</v>
      </c>
      <c r="L2193" s="591">
        <f t="shared" si="708"/>
        <v>0</v>
      </c>
      <c r="M2193" s="217">
        <f t="shared" si="712"/>
        <v>0</v>
      </c>
      <c r="N2193" s="171"/>
      <c r="R2193" s="591">
        <f t="shared" si="717"/>
        <v>0</v>
      </c>
      <c r="S2193" s="591">
        <f t="shared" si="717"/>
        <v>0</v>
      </c>
      <c r="T2193" s="217"/>
      <c r="U2193" s="498">
        <f t="shared" si="718"/>
        <v>0</v>
      </c>
      <c r="V2193" s="498">
        <f t="shared" si="718"/>
        <v>0</v>
      </c>
      <c r="W2193" s="203"/>
      <c r="X2193" s="203"/>
    </row>
    <row r="2194" spans="1:24" ht="12" hidden="1" customHeight="1" x14ac:dyDescent="0.2">
      <c r="A2194" s="124" t="s">
        <v>164</v>
      </c>
      <c r="B2194" s="243" t="s">
        <v>204</v>
      </c>
      <c r="C2194" s="353" t="s">
        <v>621</v>
      </c>
      <c r="D2194" s="353" t="s">
        <v>606</v>
      </c>
      <c r="E2194" s="369" t="s">
        <v>1253</v>
      </c>
      <c r="F2194" s="369">
        <v>540</v>
      </c>
      <c r="G2194" s="288">
        <v>0</v>
      </c>
      <c r="H2194" s="288">
        <v>0</v>
      </c>
      <c r="I2194" s="288">
        <v>0</v>
      </c>
      <c r="J2194" s="288">
        <v>0</v>
      </c>
      <c r="K2194" s="255">
        <f t="shared" si="707"/>
        <v>0</v>
      </c>
      <c r="L2194" s="43">
        <f t="shared" si="708"/>
        <v>0</v>
      </c>
      <c r="M2194" s="217">
        <f t="shared" si="712"/>
        <v>0</v>
      </c>
      <c r="N2194" s="171"/>
      <c r="R2194" s="288">
        <v>0</v>
      </c>
      <c r="S2194" s="288">
        <v>0</v>
      </c>
      <c r="T2194" s="217"/>
      <c r="U2194" s="288">
        <v>0</v>
      </c>
      <c r="V2194" s="288">
        <v>0</v>
      </c>
      <c r="W2194" s="203"/>
      <c r="X2194" s="203"/>
    </row>
    <row r="2195" spans="1:24" ht="15" hidden="1" x14ac:dyDescent="0.2">
      <c r="A2195" s="451" t="s">
        <v>65</v>
      </c>
      <c r="B2195" s="306" t="s">
        <v>204</v>
      </c>
      <c r="C2195" s="354" t="s">
        <v>621</v>
      </c>
      <c r="D2195" s="354" t="s">
        <v>606</v>
      </c>
      <c r="E2195" s="450" t="s">
        <v>312</v>
      </c>
      <c r="F2195" s="450"/>
      <c r="G2195" s="498">
        <f>G2198+G2200+G2204+G2206+G2196+G2208+G2202</f>
        <v>0</v>
      </c>
      <c r="H2195" s="498">
        <f>H2198+H2200+H2204+H2206+H2196+H2208+H2202</f>
        <v>0</v>
      </c>
      <c r="I2195" s="591">
        <f>I2198+I2200+I2204+I2206+I2196+I2208+I2202</f>
        <v>0</v>
      </c>
      <c r="J2195" s="591">
        <f>J2198+J2200+J2204+J2206+J2196+J2208+J2202</f>
        <v>0</v>
      </c>
      <c r="K2195" s="591">
        <f t="shared" si="707"/>
        <v>0</v>
      </c>
      <c r="L2195" s="591">
        <f t="shared" si="708"/>
        <v>0</v>
      </c>
      <c r="M2195" s="217">
        <f t="shared" si="712"/>
        <v>0</v>
      </c>
      <c r="N2195" s="127" t="e">
        <f>N2198+N2200</f>
        <v>#REF!</v>
      </c>
      <c r="R2195" s="591">
        <f>R2198+R2200+R2204+R2206+R2196+R2208+R2202</f>
        <v>0</v>
      </c>
      <c r="S2195" s="591">
        <f>S2198+S2200+S2204+S2206+S2196+S2208+S2202</f>
        <v>0</v>
      </c>
      <c r="T2195" s="217">
        <f>I2195-G2195</f>
        <v>0</v>
      </c>
      <c r="U2195" s="498">
        <f>U2198+U2200+U2204+U2206+U2196+U2208+U2202</f>
        <v>1450.2049999999999</v>
      </c>
      <c r="V2195" s="498">
        <f>V2198+V2200+V2204+V2206+V2196+V2208+V2202</f>
        <v>0</v>
      </c>
      <c r="W2195" s="203">
        <f t="shared" ref="W2195:W2201" si="719">G2195-I2195</f>
        <v>0</v>
      </c>
      <c r="X2195" s="203">
        <f t="shared" ref="X2195:X2201" si="720">K2195+W2195</f>
        <v>0</v>
      </c>
    </row>
    <row r="2196" spans="1:24" ht="15" hidden="1" x14ac:dyDescent="0.2">
      <c r="A2196" s="451" t="s">
        <v>49</v>
      </c>
      <c r="B2196" s="306" t="s">
        <v>204</v>
      </c>
      <c r="C2196" s="354" t="s">
        <v>621</v>
      </c>
      <c r="D2196" s="354" t="s">
        <v>606</v>
      </c>
      <c r="E2196" s="450" t="s">
        <v>879</v>
      </c>
      <c r="F2196" s="450"/>
      <c r="G2196" s="498">
        <f>G2197</f>
        <v>0</v>
      </c>
      <c r="H2196" s="498">
        <f>H2197</f>
        <v>0</v>
      </c>
      <c r="I2196" s="591">
        <f>I2197</f>
        <v>0</v>
      </c>
      <c r="J2196" s="591">
        <f>J2197</f>
        <v>0</v>
      </c>
      <c r="K2196" s="591">
        <f t="shared" si="707"/>
        <v>0</v>
      </c>
      <c r="L2196" s="591">
        <f t="shared" si="708"/>
        <v>0</v>
      </c>
      <c r="M2196" s="217">
        <f t="shared" si="712"/>
        <v>0</v>
      </c>
      <c r="N2196" s="127"/>
      <c r="R2196" s="591">
        <f>R2197</f>
        <v>0</v>
      </c>
      <c r="S2196" s="591">
        <f>S2197</f>
        <v>0</v>
      </c>
      <c r="T2196" s="217"/>
      <c r="U2196" s="498">
        <f>U2197</f>
        <v>156.465</v>
      </c>
      <c r="V2196" s="498">
        <f>V2197</f>
        <v>0</v>
      </c>
      <c r="W2196" s="203">
        <f t="shared" si="719"/>
        <v>0</v>
      </c>
      <c r="X2196" s="203">
        <f t="shared" si="720"/>
        <v>0</v>
      </c>
    </row>
    <row r="2197" spans="1:24" ht="15" hidden="1" x14ac:dyDescent="0.2">
      <c r="A2197" s="124" t="s">
        <v>164</v>
      </c>
      <c r="B2197" s="243" t="s">
        <v>204</v>
      </c>
      <c r="C2197" s="353" t="s">
        <v>621</v>
      </c>
      <c r="D2197" s="353" t="s">
        <v>606</v>
      </c>
      <c r="E2197" s="369" t="s">
        <v>879</v>
      </c>
      <c r="F2197" s="369" t="s">
        <v>132</v>
      </c>
      <c r="G2197" s="288"/>
      <c r="H2197" s="288">
        <v>0</v>
      </c>
      <c r="I2197" s="288"/>
      <c r="J2197" s="288">
        <v>0</v>
      </c>
      <c r="K2197" s="43">
        <f t="shared" si="707"/>
        <v>0</v>
      </c>
      <c r="L2197" s="43">
        <f t="shared" si="708"/>
        <v>0</v>
      </c>
      <c r="M2197" s="217">
        <f t="shared" si="712"/>
        <v>0</v>
      </c>
      <c r="N2197" s="127"/>
      <c r="R2197" s="288"/>
      <c r="S2197" s="288">
        <v>0</v>
      </c>
      <c r="T2197" s="217"/>
      <c r="U2197" s="288">
        <v>156.465</v>
      </c>
      <c r="V2197" s="288">
        <v>0</v>
      </c>
      <c r="W2197" s="203">
        <f t="shared" si="719"/>
        <v>0</v>
      </c>
      <c r="X2197" s="203">
        <f t="shared" si="720"/>
        <v>0</v>
      </c>
    </row>
    <row r="2198" spans="1:24" ht="15" hidden="1" x14ac:dyDescent="0.2">
      <c r="A2198" s="451" t="s">
        <v>294</v>
      </c>
      <c r="B2198" s="306" t="s">
        <v>204</v>
      </c>
      <c r="C2198" s="354" t="s">
        <v>621</v>
      </c>
      <c r="D2198" s="354" t="s">
        <v>606</v>
      </c>
      <c r="E2198" s="450" t="s">
        <v>692</v>
      </c>
      <c r="F2198" s="450"/>
      <c r="G2198" s="498">
        <f>G2199</f>
        <v>0</v>
      </c>
      <c r="H2198" s="498">
        <f>H2199</f>
        <v>0</v>
      </c>
      <c r="I2198" s="591">
        <f>I2199</f>
        <v>0</v>
      </c>
      <c r="J2198" s="591">
        <f>J2199</f>
        <v>0</v>
      </c>
      <c r="K2198" s="591">
        <f t="shared" si="707"/>
        <v>0</v>
      </c>
      <c r="L2198" s="591">
        <f t="shared" si="708"/>
        <v>0</v>
      </c>
      <c r="M2198" s="217">
        <f t="shared" si="712"/>
        <v>0</v>
      </c>
      <c r="N2198" s="178" t="e">
        <f>#REF!</f>
        <v>#REF!</v>
      </c>
      <c r="R2198" s="591">
        <f>R2199</f>
        <v>0</v>
      </c>
      <c r="S2198" s="591">
        <f>S2199</f>
        <v>0</v>
      </c>
      <c r="T2198" s="217">
        <f t="shared" ref="T2198:T2205" si="721">I2198-G2198</f>
        <v>0</v>
      </c>
      <c r="U2198" s="498">
        <f>U2199</f>
        <v>1293.74</v>
      </c>
      <c r="V2198" s="498">
        <f>V2199</f>
        <v>0</v>
      </c>
      <c r="W2198" s="203">
        <f t="shared" si="719"/>
        <v>0</v>
      </c>
      <c r="X2198" s="203">
        <f t="shared" si="720"/>
        <v>0</v>
      </c>
    </row>
    <row r="2199" spans="1:24" ht="15" hidden="1" x14ac:dyDescent="0.2">
      <c r="A2199" s="124" t="s">
        <v>164</v>
      </c>
      <c r="B2199" s="243" t="s">
        <v>204</v>
      </c>
      <c r="C2199" s="353" t="s">
        <v>621</v>
      </c>
      <c r="D2199" s="353" t="s">
        <v>606</v>
      </c>
      <c r="E2199" s="369" t="s">
        <v>692</v>
      </c>
      <c r="F2199" s="369" t="s">
        <v>132</v>
      </c>
      <c r="G2199" s="288"/>
      <c r="H2199" s="288">
        <v>0</v>
      </c>
      <c r="I2199" s="288"/>
      <c r="J2199" s="288">
        <v>0</v>
      </c>
      <c r="K2199" s="43">
        <f t="shared" si="707"/>
        <v>0</v>
      </c>
      <c r="L2199" s="43">
        <f t="shared" si="708"/>
        <v>0</v>
      </c>
      <c r="M2199" s="217">
        <f t="shared" si="712"/>
        <v>0</v>
      </c>
      <c r="N2199" s="180"/>
      <c r="R2199" s="288"/>
      <c r="S2199" s="288">
        <v>0</v>
      </c>
      <c r="T2199" s="217">
        <f t="shared" si="721"/>
        <v>0</v>
      </c>
      <c r="U2199" s="288">
        <v>1293.74</v>
      </c>
      <c r="V2199" s="288">
        <v>0</v>
      </c>
      <c r="W2199" s="203">
        <f t="shared" si="719"/>
        <v>0</v>
      </c>
      <c r="X2199" s="203">
        <f t="shared" si="720"/>
        <v>0</v>
      </c>
    </row>
    <row r="2200" spans="1:24" ht="15" hidden="1" x14ac:dyDescent="0.2">
      <c r="A2200" s="451" t="s">
        <v>566</v>
      </c>
      <c r="B2200" s="306" t="s">
        <v>204</v>
      </c>
      <c r="C2200" s="354" t="s">
        <v>621</v>
      </c>
      <c r="D2200" s="354" t="s">
        <v>606</v>
      </c>
      <c r="E2200" s="450" t="s">
        <v>567</v>
      </c>
      <c r="F2200" s="450"/>
      <c r="G2200" s="498">
        <f>G2201</f>
        <v>0</v>
      </c>
      <c r="H2200" s="498">
        <f>H2201</f>
        <v>0</v>
      </c>
      <c r="I2200" s="591">
        <f>I2201</f>
        <v>0</v>
      </c>
      <c r="J2200" s="591">
        <f>J2201</f>
        <v>0</v>
      </c>
      <c r="K2200" s="591">
        <f t="shared" si="707"/>
        <v>0</v>
      </c>
      <c r="L2200" s="591">
        <f t="shared" si="708"/>
        <v>0</v>
      </c>
      <c r="M2200" s="217">
        <f t="shared" si="712"/>
        <v>0</v>
      </c>
      <c r="N2200" s="178" t="e">
        <f>#REF!</f>
        <v>#REF!</v>
      </c>
      <c r="R2200" s="591">
        <f>R2201</f>
        <v>0</v>
      </c>
      <c r="S2200" s="591">
        <f>S2201</f>
        <v>0</v>
      </c>
      <c r="T2200" s="217">
        <f t="shared" si="721"/>
        <v>0</v>
      </c>
      <c r="U2200" s="498">
        <f t="shared" ref="U2200:V2202" si="722">U2201</f>
        <v>0</v>
      </c>
      <c r="V2200" s="498">
        <f t="shared" si="722"/>
        <v>0</v>
      </c>
      <c r="W2200" s="203">
        <f t="shared" si="719"/>
        <v>0</v>
      </c>
      <c r="X2200" s="203">
        <f t="shared" si="720"/>
        <v>0</v>
      </c>
    </row>
    <row r="2201" spans="1:24" ht="15" hidden="1" x14ac:dyDescent="0.2">
      <c r="A2201" s="124" t="s">
        <v>164</v>
      </c>
      <c r="B2201" s="243" t="s">
        <v>204</v>
      </c>
      <c r="C2201" s="353" t="s">
        <v>621</v>
      </c>
      <c r="D2201" s="353" t="s">
        <v>606</v>
      </c>
      <c r="E2201" s="369" t="s">
        <v>567</v>
      </c>
      <c r="F2201" s="369" t="s">
        <v>132</v>
      </c>
      <c r="G2201" s="288">
        <v>0</v>
      </c>
      <c r="H2201" s="288"/>
      <c r="I2201" s="288">
        <v>0</v>
      </c>
      <c r="J2201" s="288"/>
      <c r="K2201" s="43">
        <f t="shared" si="707"/>
        <v>0</v>
      </c>
      <c r="L2201" s="43">
        <f t="shared" si="708"/>
        <v>0</v>
      </c>
      <c r="M2201" s="217">
        <f t="shared" si="712"/>
        <v>0</v>
      </c>
      <c r="N2201" s="180"/>
      <c r="R2201" s="288">
        <v>0</v>
      </c>
      <c r="S2201" s="288"/>
      <c r="T2201" s="217">
        <f t="shared" si="721"/>
        <v>0</v>
      </c>
      <c r="U2201" s="288">
        <v>0</v>
      </c>
      <c r="V2201" s="288"/>
      <c r="W2201" s="203">
        <f t="shared" si="719"/>
        <v>0</v>
      </c>
      <c r="X2201" s="203">
        <f t="shared" si="720"/>
        <v>0</v>
      </c>
    </row>
    <row r="2202" spans="1:24" ht="15" hidden="1" x14ac:dyDescent="0.2">
      <c r="A2202" s="451" t="s">
        <v>566</v>
      </c>
      <c r="B2202" s="306" t="s">
        <v>204</v>
      </c>
      <c r="C2202" s="354" t="s">
        <v>621</v>
      </c>
      <c r="D2202" s="354" t="s">
        <v>606</v>
      </c>
      <c r="E2202" s="450" t="s">
        <v>1290</v>
      </c>
      <c r="F2202" s="450"/>
      <c r="G2202" s="498">
        <f>G2203</f>
        <v>0</v>
      </c>
      <c r="H2202" s="498">
        <f>H2203</f>
        <v>0</v>
      </c>
      <c r="I2202" s="591">
        <f>I2203</f>
        <v>0</v>
      </c>
      <c r="J2202" s="591">
        <f>J2203</f>
        <v>0</v>
      </c>
      <c r="K2202" s="591">
        <f t="shared" si="707"/>
        <v>0</v>
      </c>
      <c r="L2202" s="591">
        <f t="shared" si="708"/>
        <v>0</v>
      </c>
      <c r="M2202" s="217">
        <f t="shared" si="712"/>
        <v>0</v>
      </c>
      <c r="N2202" s="180"/>
      <c r="R2202" s="591">
        <f>R2203</f>
        <v>0</v>
      </c>
      <c r="S2202" s="591">
        <f>S2203</f>
        <v>0</v>
      </c>
      <c r="T2202" s="217"/>
      <c r="U2202" s="498">
        <f t="shared" si="722"/>
        <v>0</v>
      </c>
      <c r="V2202" s="498">
        <f t="shared" si="722"/>
        <v>0</v>
      </c>
      <c r="W2202" s="203"/>
      <c r="X2202" s="203"/>
    </row>
    <row r="2203" spans="1:24" ht="15" hidden="1" x14ac:dyDescent="0.2">
      <c r="A2203" s="124" t="s">
        <v>164</v>
      </c>
      <c r="B2203" s="243" t="s">
        <v>204</v>
      </c>
      <c r="C2203" s="353" t="s">
        <v>621</v>
      </c>
      <c r="D2203" s="353" t="s">
        <v>606</v>
      </c>
      <c r="E2203" s="369" t="s">
        <v>1290</v>
      </c>
      <c r="F2203" s="369" t="s">
        <v>132</v>
      </c>
      <c r="G2203" s="288">
        <v>0</v>
      </c>
      <c r="H2203" s="288">
        <v>0</v>
      </c>
      <c r="I2203" s="288">
        <v>0</v>
      </c>
      <c r="J2203" s="288">
        <v>0</v>
      </c>
      <c r="K2203" s="255">
        <f t="shared" si="707"/>
        <v>0</v>
      </c>
      <c r="L2203" s="43">
        <f t="shared" si="708"/>
        <v>0</v>
      </c>
      <c r="M2203" s="217">
        <f t="shared" si="712"/>
        <v>0</v>
      </c>
      <c r="N2203" s="180"/>
      <c r="R2203" s="288">
        <v>0</v>
      </c>
      <c r="S2203" s="288">
        <v>0</v>
      </c>
      <c r="T2203" s="217"/>
      <c r="U2203" s="288">
        <v>0</v>
      </c>
      <c r="V2203" s="288">
        <v>0</v>
      </c>
      <c r="W2203" s="203"/>
      <c r="X2203" s="203"/>
    </row>
    <row r="2204" spans="1:24" ht="15" hidden="1" x14ac:dyDescent="0.2">
      <c r="A2204" s="451" t="s">
        <v>43</v>
      </c>
      <c r="B2204" s="306" t="s">
        <v>204</v>
      </c>
      <c r="C2204" s="354" t="s">
        <v>621</v>
      </c>
      <c r="D2204" s="354" t="s">
        <v>606</v>
      </c>
      <c r="E2204" s="450" t="s">
        <v>589</v>
      </c>
      <c r="F2204" s="450"/>
      <c r="G2204" s="498">
        <f>G2205</f>
        <v>0</v>
      </c>
      <c r="H2204" s="498">
        <f>H2205</f>
        <v>0</v>
      </c>
      <c r="I2204" s="591">
        <f>I2205</f>
        <v>0</v>
      </c>
      <c r="J2204" s="591">
        <f>J2205</f>
        <v>0</v>
      </c>
      <c r="K2204" s="591">
        <f t="shared" si="707"/>
        <v>0</v>
      </c>
      <c r="L2204" s="591">
        <f t="shared" si="708"/>
        <v>0</v>
      </c>
      <c r="M2204" s="217">
        <f t="shared" si="712"/>
        <v>0</v>
      </c>
      <c r="N2204" s="180"/>
      <c r="R2204" s="591">
        <f>R2205</f>
        <v>0</v>
      </c>
      <c r="S2204" s="591">
        <f>S2205</f>
        <v>0</v>
      </c>
      <c r="T2204" s="217">
        <f t="shared" si="721"/>
        <v>0</v>
      </c>
      <c r="U2204" s="498">
        <f>U2205</f>
        <v>0</v>
      </c>
      <c r="V2204" s="498">
        <f>V2205</f>
        <v>0</v>
      </c>
      <c r="W2204" s="203">
        <f t="shared" ref="W2204:W2211" si="723">G2204-I2204</f>
        <v>0</v>
      </c>
      <c r="X2204" s="203">
        <f t="shared" ref="X2204:X2211" si="724">K2204+W2204</f>
        <v>0</v>
      </c>
    </row>
    <row r="2205" spans="1:24" ht="15" hidden="1" x14ac:dyDescent="0.2">
      <c r="A2205" s="124" t="s">
        <v>164</v>
      </c>
      <c r="B2205" s="243" t="s">
        <v>204</v>
      </c>
      <c r="C2205" s="353" t="s">
        <v>621</v>
      </c>
      <c r="D2205" s="353" t="s">
        <v>606</v>
      </c>
      <c r="E2205" s="369" t="s">
        <v>589</v>
      </c>
      <c r="F2205" s="369" t="s">
        <v>132</v>
      </c>
      <c r="G2205" s="288">
        <v>0</v>
      </c>
      <c r="H2205" s="288"/>
      <c r="I2205" s="288">
        <v>0</v>
      </c>
      <c r="J2205" s="288"/>
      <c r="K2205" s="43">
        <f t="shared" si="707"/>
        <v>0</v>
      </c>
      <c r="L2205" s="43">
        <f t="shared" si="708"/>
        <v>0</v>
      </c>
      <c r="M2205" s="217">
        <f t="shared" si="712"/>
        <v>0</v>
      </c>
      <c r="N2205" s="180"/>
      <c r="R2205" s="288">
        <v>0</v>
      </c>
      <c r="S2205" s="288"/>
      <c r="T2205" s="217">
        <f t="shared" si="721"/>
        <v>0</v>
      </c>
      <c r="U2205" s="288">
        <v>0</v>
      </c>
      <c r="V2205" s="288"/>
      <c r="W2205" s="203">
        <f t="shared" si="723"/>
        <v>0</v>
      </c>
      <c r="X2205" s="203">
        <f t="shared" si="724"/>
        <v>0</v>
      </c>
    </row>
    <row r="2206" spans="1:24" ht="25.5" hidden="1" x14ac:dyDescent="0.2">
      <c r="A2206" s="451" t="s">
        <v>833</v>
      </c>
      <c r="B2206" s="306" t="s">
        <v>204</v>
      </c>
      <c r="C2206" s="354" t="s">
        <v>621</v>
      </c>
      <c r="D2206" s="354" t="s">
        <v>606</v>
      </c>
      <c r="E2206" s="450" t="s">
        <v>832</v>
      </c>
      <c r="F2206" s="450"/>
      <c r="G2206" s="498">
        <f>G2207</f>
        <v>0</v>
      </c>
      <c r="H2206" s="498">
        <f>H2207</f>
        <v>0</v>
      </c>
      <c r="I2206" s="591">
        <f>I2207</f>
        <v>0</v>
      </c>
      <c r="J2206" s="591">
        <f>J2207</f>
        <v>0</v>
      </c>
      <c r="K2206" s="591">
        <f t="shared" si="707"/>
        <v>0</v>
      </c>
      <c r="L2206" s="591">
        <f t="shared" si="708"/>
        <v>0</v>
      </c>
      <c r="M2206" s="217">
        <f t="shared" si="712"/>
        <v>0</v>
      </c>
      <c r="N2206" s="180"/>
      <c r="R2206" s="591">
        <f>R2207</f>
        <v>0</v>
      </c>
      <c r="S2206" s="591">
        <f>S2207</f>
        <v>0</v>
      </c>
      <c r="T2206" s="217"/>
      <c r="U2206" s="498">
        <f>U2207</f>
        <v>0</v>
      </c>
      <c r="V2206" s="498">
        <f>V2207</f>
        <v>0</v>
      </c>
      <c r="W2206" s="203">
        <f t="shared" si="723"/>
        <v>0</v>
      </c>
      <c r="X2206" s="203">
        <f t="shared" si="724"/>
        <v>0</v>
      </c>
    </row>
    <row r="2207" spans="1:24" ht="15" hidden="1" x14ac:dyDescent="0.2">
      <c r="A2207" s="124" t="s">
        <v>164</v>
      </c>
      <c r="B2207" s="243" t="s">
        <v>204</v>
      </c>
      <c r="C2207" s="353" t="s">
        <v>621</v>
      </c>
      <c r="D2207" s="353" t="s">
        <v>606</v>
      </c>
      <c r="E2207" s="369" t="s">
        <v>832</v>
      </c>
      <c r="F2207" s="369" t="s">
        <v>132</v>
      </c>
      <c r="G2207" s="288"/>
      <c r="H2207" s="288"/>
      <c r="I2207" s="288"/>
      <c r="J2207" s="288"/>
      <c r="K2207" s="43">
        <f t="shared" si="707"/>
        <v>0</v>
      </c>
      <c r="L2207" s="43">
        <f t="shared" si="708"/>
        <v>0</v>
      </c>
      <c r="M2207" s="217">
        <f t="shared" si="712"/>
        <v>0</v>
      </c>
      <c r="N2207" s="180"/>
      <c r="R2207" s="288"/>
      <c r="S2207" s="288"/>
      <c r="T2207" s="217"/>
      <c r="U2207" s="288"/>
      <c r="V2207" s="288"/>
      <c r="W2207" s="203">
        <f t="shared" si="723"/>
        <v>0</v>
      </c>
      <c r="X2207" s="203">
        <f t="shared" si="724"/>
        <v>0</v>
      </c>
    </row>
    <row r="2208" spans="1:24" ht="15" hidden="1" x14ac:dyDescent="0.2">
      <c r="A2208" s="451" t="s">
        <v>43</v>
      </c>
      <c r="B2208" s="306" t="s">
        <v>204</v>
      </c>
      <c r="C2208" s="354" t="s">
        <v>621</v>
      </c>
      <c r="D2208" s="354" t="s">
        <v>606</v>
      </c>
      <c r="E2208" s="450" t="s">
        <v>589</v>
      </c>
      <c r="F2208" s="450"/>
      <c r="G2208" s="498">
        <f>G2209</f>
        <v>0</v>
      </c>
      <c r="H2208" s="498">
        <f>H2209</f>
        <v>0</v>
      </c>
      <c r="I2208" s="591">
        <f>I2209</f>
        <v>0</v>
      </c>
      <c r="J2208" s="591">
        <f>J2209</f>
        <v>0</v>
      </c>
      <c r="K2208" s="591">
        <f t="shared" si="707"/>
        <v>0</v>
      </c>
      <c r="L2208" s="591">
        <f t="shared" si="708"/>
        <v>0</v>
      </c>
      <c r="M2208" s="217">
        <f t="shared" si="712"/>
        <v>0</v>
      </c>
      <c r="N2208" s="180"/>
      <c r="R2208" s="591">
        <f>R2209</f>
        <v>0</v>
      </c>
      <c r="S2208" s="591">
        <f>S2209</f>
        <v>0</v>
      </c>
      <c r="T2208" s="217"/>
      <c r="U2208" s="498">
        <f>U2209</f>
        <v>0</v>
      </c>
      <c r="V2208" s="498">
        <f>V2209</f>
        <v>0</v>
      </c>
      <c r="W2208" s="203">
        <f t="shared" si="723"/>
        <v>0</v>
      </c>
      <c r="X2208" s="203">
        <f t="shared" si="724"/>
        <v>0</v>
      </c>
    </row>
    <row r="2209" spans="1:24" ht="15" hidden="1" x14ac:dyDescent="0.2">
      <c r="A2209" s="124" t="s">
        <v>164</v>
      </c>
      <c r="B2209" s="243" t="s">
        <v>204</v>
      </c>
      <c r="C2209" s="353" t="s">
        <v>621</v>
      </c>
      <c r="D2209" s="353" t="s">
        <v>606</v>
      </c>
      <c r="E2209" s="369" t="s">
        <v>589</v>
      </c>
      <c r="F2209" s="369" t="s">
        <v>132</v>
      </c>
      <c r="G2209" s="288"/>
      <c r="H2209" s="288"/>
      <c r="I2209" s="288"/>
      <c r="J2209" s="288"/>
      <c r="K2209" s="43">
        <f t="shared" si="707"/>
        <v>0</v>
      </c>
      <c r="L2209" s="43">
        <f t="shared" si="708"/>
        <v>0</v>
      </c>
      <c r="M2209" s="217">
        <f t="shared" si="712"/>
        <v>0</v>
      </c>
      <c r="N2209" s="180"/>
      <c r="R2209" s="288"/>
      <c r="S2209" s="288"/>
      <c r="T2209" s="217"/>
      <c r="U2209" s="288"/>
      <c r="V2209" s="288"/>
      <c r="W2209" s="203">
        <f t="shared" si="723"/>
        <v>0</v>
      </c>
      <c r="X2209" s="203">
        <f t="shared" si="724"/>
        <v>0</v>
      </c>
    </row>
    <row r="2210" spans="1:24" ht="31.5" x14ac:dyDescent="0.25">
      <c r="A2210" s="743" t="s">
        <v>971</v>
      </c>
      <c r="B2210" s="66" t="s">
        <v>970</v>
      </c>
      <c r="C2210" s="346"/>
      <c r="D2210" s="346"/>
      <c r="E2210" s="373"/>
      <c r="F2210" s="373"/>
      <c r="G2210" s="126">
        <f>G2211+G2264+G2288+G2224+G2359</f>
        <v>24529.950950000002</v>
      </c>
      <c r="H2210" s="126">
        <f>H2211+H2264+H2288+H2224+H2359</f>
        <v>739.95</v>
      </c>
      <c r="I2210" s="126">
        <f>I2211+I2264+I2288+I2224+I2359</f>
        <v>33458.054889999999</v>
      </c>
      <c r="J2210" s="126">
        <f>J2211+J2264+J2288+J2224+J2359</f>
        <v>779.95</v>
      </c>
      <c r="K2210" s="126">
        <f t="shared" si="707"/>
        <v>8928.1039399999972</v>
      </c>
      <c r="L2210" s="126">
        <f t="shared" si="708"/>
        <v>40</v>
      </c>
      <c r="M2210" s="217">
        <f t="shared" si="712"/>
        <v>0</v>
      </c>
      <c r="N2210" s="180"/>
      <c r="R2210" s="126">
        <f>R2211+R2264+R2288+R2224+R2359</f>
        <v>23707.516779999998</v>
      </c>
      <c r="S2210" s="126">
        <f>S2211+S2264+S2288+S2224+S2359</f>
        <v>3080.8616000000002</v>
      </c>
      <c r="T2210" s="217"/>
      <c r="U2210" s="126" t="e">
        <f>U2211+U2264+U2288+U2224+U2359</f>
        <v>#REF!</v>
      </c>
      <c r="V2210" s="126" t="e">
        <f>V2211+V2264+V2288+V2224+V2359</f>
        <v>#REF!</v>
      </c>
      <c r="W2210" s="203">
        <f t="shared" si="723"/>
        <v>-8928.1039399999972</v>
      </c>
      <c r="X2210" s="203">
        <f t="shared" si="724"/>
        <v>0</v>
      </c>
    </row>
    <row r="2211" spans="1:24" ht="15" hidden="1" x14ac:dyDescent="0.2">
      <c r="A2211" s="451" t="s">
        <v>156</v>
      </c>
      <c r="B2211" s="306" t="s">
        <v>970</v>
      </c>
      <c r="C2211" s="354" t="s">
        <v>605</v>
      </c>
      <c r="D2211" s="354"/>
      <c r="E2211" s="450"/>
      <c r="F2211" s="450"/>
      <c r="G2211" s="498">
        <f t="shared" ref="G2211:J2212" si="725">G2212</f>
        <v>0</v>
      </c>
      <c r="H2211" s="498">
        <f t="shared" si="725"/>
        <v>0</v>
      </c>
      <c r="I2211" s="591">
        <f t="shared" si="725"/>
        <v>0</v>
      </c>
      <c r="J2211" s="591">
        <f t="shared" si="725"/>
        <v>0</v>
      </c>
      <c r="K2211" s="591">
        <f t="shared" si="707"/>
        <v>0</v>
      </c>
      <c r="L2211" s="591">
        <f t="shared" si="708"/>
        <v>0</v>
      </c>
      <c r="M2211" s="217">
        <f t="shared" si="712"/>
        <v>0</v>
      </c>
      <c r="N2211" s="180"/>
      <c r="R2211" s="591">
        <f>R2212</f>
        <v>0</v>
      </c>
      <c r="S2211" s="591">
        <f>S2212</f>
        <v>0</v>
      </c>
      <c r="T2211" s="217"/>
      <c r="U2211" s="498">
        <f>U2212</f>
        <v>0</v>
      </c>
      <c r="V2211" s="498">
        <f>V2212</f>
        <v>0</v>
      </c>
      <c r="W2211" s="203">
        <f t="shared" si="723"/>
        <v>0</v>
      </c>
      <c r="X2211" s="203">
        <f t="shared" si="724"/>
        <v>0</v>
      </c>
    </row>
    <row r="2212" spans="1:24" ht="15" hidden="1" x14ac:dyDescent="0.2">
      <c r="A2212" s="451" t="s">
        <v>210</v>
      </c>
      <c r="B2212" s="306" t="s">
        <v>970</v>
      </c>
      <c r="C2212" s="354" t="s">
        <v>605</v>
      </c>
      <c r="D2212" s="354" t="s">
        <v>620</v>
      </c>
      <c r="E2212" s="450"/>
      <c r="F2212" s="450"/>
      <c r="G2212" s="498">
        <f t="shared" si="725"/>
        <v>0</v>
      </c>
      <c r="H2212" s="498">
        <f t="shared" si="725"/>
        <v>0</v>
      </c>
      <c r="I2212" s="591">
        <f t="shared" si="725"/>
        <v>0</v>
      </c>
      <c r="J2212" s="591">
        <f t="shared" si="725"/>
        <v>0</v>
      </c>
      <c r="K2212" s="591">
        <f t="shared" si="707"/>
        <v>0</v>
      </c>
      <c r="L2212" s="591">
        <f t="shared" si="708"/>
        <v>0</v>
      </c>
      <c r="M2212" s="217">
        <f t="shared" si="712"/>
        <v>0</v>
      </c>
      <c r="N2212" s="180"/>
      <c r="R2212" s="591">
        <f>R2213</f>
        <v>0</v>
      </c>
      <c r="S2212" s="591">
        <f>S2213</f>
        <v>0</v>
      </c>
      <c r="T2212" s="217"/>
      <c r="U2212" s="498">
        <f>U2213</f>
        <v>0</v>
      </c>
      <c r="V2212" s="498">
        <f>V2213</f>
        <v>0</v>
      </c>
      <c r="W2212" s="203">
        <f t="shared" ref="W2212:W2272" si="726">G2212-I2212</f>
        <v>0</v>
      </c>
      <c r="X2212" s="203">
        <f t="shared" ref="X2212:X2272" si="727">K2212+W2212</f>
        <v>0</v>
      </c>
    </row>
    <row r="2213" spans="1:24" ht="15" hidden="1" x14ac:dyDescent="0.2">
      <c r="A2213" s="451" t="s">
        <v>65</v>
      </c>
      <c r="B2213" s="306" t="s">
        <v>970</v>
      </c>
      <c r="C2213" s="354" t="s">
        <v>605</v>
      </c>
      <c r="D2213" s="354" t="s">
        <v>620</v>
      </c>
      <c r="E2213" s="450" t="s">
        <v>312</v>
      </c>
      <c r="F2213" s="450"/>
      <c r="G2213" s="498">
        <f>G2214+G2221</f>
        <v>0</v>
      </c>
      <c r="H2213" s="498">
        <f>H2214+H2221</f>
        <v>0</v>
      </c>
      <c r="I2213" s="591">
        <f>I2214+I2221</f>
        <v>0</v>
      </c>
      <c r="J2213" s="591">
        <f>J2214+J2221</f>
        <v>0</v>
      </c>
      <c r="K2213" s="591">
        <f t="shared" si="707"/>
        <v>0</v>
      </c>
      <c r="L2213" s="591">
        <f t="shared" si="708"/>
        <v>0</v>
      </c>
      <c r="M2213" s="217">
        <f t="shared" si="712"/>
        <v>0</v>
      </c>
      <c r="N2213" s="180"/>
      <c r="R2213" s="591">
        <f>R2214+R2221</f>
        <v>0</v>
      </c>
      <c r="S2213" s="591">
        <f>S2214+S2221</f>
        <v>0</v>
      </c>
      <c r="T2213" s="217"/>
      <c r="U2213" s="498">
        <f>U2214+U2221</f>
        <v>0</v>
      </c>
      <c r="V2213" s="498">
        <f>V2214+V2221</f>
        <v>0</v>
      </c>
      <c r="W2213" s="203">
        <f t="shared" si="726"/>
        <v>0</v>
      </c>
      <c r="X2213" s="203">
        <f t="shared" si="727"/>
        <v>0</v>
      </c>
    </row>
    <row r="2214" spans="1:24" ht="15" hidden="1" x14ac:dyDescent="0.2">
      <c r="A2214" s="451" t="s">
        <v>643</v>
      </c>
      <c r="B2214" s="306" t="s">
        <v>970</v>
      </c>
      <c r="C2214" s="354" t="s">
        <v>605</v>
      </c>
      <c r="D2214" s="354" t="s">
        <v>620</v>
      </c>
      <c r="E2214" s="450" t="s">
        <v>522</v>
      </c>
      <c r="F2214" s="450"/>
      <c r="G2214" s="498">
        <f>SUM(G2215:G2220)</f>
        <v>0</v>
      </c>
      <c r="H2214" s="498">
        <f>SUM(H2215:H2220)</f>
        <v>0</v>
      </c>
      <c r="I2214" s="591">
        <f>SUM(I2215:I2220)</f>
        <v>0</v>
      </c>
      <c r="J2214" s="591">
        <f>SUM(J2215:J2220)</f>
        <v>0</v>
      </c>
      <c r="K2214" s="591">
        <f t="shared" si="707"/>
        <v>0</v>
      </c>
      <c r="L2214" s="591">
        <f t="shared" si="708"/>
        <v>0</v>
      </c>
      <c r="M2214" s="217">
        <f t="shared" si="712"/>
        <v>0</v>
      </c>
      <c r="N2214" s="180"/>
      <c r="R2214" s="591">
        <f>SUM(R2215:R2220)</f>
        <v>0</v>
      </c>
      <c r="S2214" s="591">
        <f>SUM(S2215:S2220)</f>
        <v>0</v>
      </c>
      <c r="T2214" s="217"/>
      <c r="U2214" s="498">
        <f>SUM(U2215:U2220)</f>
        <v>0</v>
      </c>
      <c r="V2214" s="498">
        <f>SUM(V2215:V2220)</f>
        <v>0</v>
      </c>
      <c r="W2214" s="203">
        <f t="shared" si="726"/>
        <v>0</v>
      </c>
      <c r="X2214" s="203">
        <f t="shared" si="727"/>
        <v>0</v>
      </c>
    </row>
    <row r="2215" spans="1:24" ht="15" hidden="1" x14ac:dyDescent="0.2">
      <c r="A2215" s="124" t="s">
        <v>523</v>
      </c>
      <c r="B2215" s="243" t="s">
        <v>970</v>
      </c>
      <c r="C2215" s="353" t="s">
        <v>605</v>
      </c>
      <c r="D2215" s="353" t="s">
        <v>620</v>
      </c>
      <c r="E2215" s="369" t="s">
        <v>522</v>
      </c>
      <c r="F2215" s="369" t="s">
        <v>129</v>
      </c>
      <c r="G2215" s="288"/>
      <c r="H2215" s="288"/>
      <c r="I2215" s="288"/>
      <c r="J2215" s="288"/>
      <c r="K2215" s="43">
        <f t="shared" si="707"/>
        <v>0</v>
      </c>
      <c r="L2215" s="43">
        <f t="shared" si="708"/>
        <v>0</v>
      </c>
      <c r="M2215" s="217">
        <f t="shared" si="712"/>
        <v>0</v>
      </c>
      <c r="N2215" s="180"/>
      <c r="R2215" s="288"/>
      <c r="S2215" s="288"/>
      <c r="T2215" s="217"/>
      <c r="U2215" s="288"/>
      <c r="V2215" s="288"/>
      <c r="W2215" s="203">
        <f t="shared" si="726"/>
        <v>0</v>
      </c>
      <c r="X2215" s="203">
        <f t="shared" si="727"/>
        <v>0</v>
      </c>
    </row>
    <row r="2216" spans="1:24" ht="15" hidden="1" x14ac:dyDescent="0.2">
      <c r="A2216" s="124" t="s">
        <v>191</v>
      </c>
      <c r="B2216" s="243" t="s">
        <v>970</v>
      </c>
      <c r="C2216" s="353" t="s">
        <v>605</v>
      </c>
      <c r="D2216" s="353" t="s">
        <v>620</v>
      </c>
      <c r="E2216" s="369" t="s">
        <v>522</v>
      </c>
      <c r="F2216" s="369" t="s">
        <v>636</v>
      </c>
      <c r="G2216" s="288"/>
      <c r="H2216" s="288"/>
      <c r="I2216" s="288"/>
      <c r="J2216" s="288"/>
      <c r="K2216" s="43">
        <f t="shared" si="707"/>
        <v>0</v>
      </c>
      <c r="L2216" s="43">
        <f t="shared" si="708"/>
        <v>0</v>
      </c>
      <c r="M2216" s="217">
        <f t="shared" si="712"/>
        <v>0</v>
      </c>
      <c r="N2216" s="180"/>
      <c r="R2216" s="288"/>
      <c r="S2216" s="288"/>
      <c r="T2216" s="217"/>
      <c r="U2216" s="288"/>
      <c r="V2216" s="288"/>
      <c r="W2216" s="203">
        <f t="shared" si="726"/>
        <v>0</v>
      </c>
      <c r="X2216" s="203">
        <f t="shared" si="727"/>
        <v>0</v>
      </c>
    </row>
    <row r="2217" spans="1:24" ht="25.5" hidden="1" x14ac:dyDescent="0.2">
      <c r="A2217" s="124" t="s">
        <v>572</v>
      </c>
      <c r="B2217" s="243" t="s">
        <v>970</v>
      </c>
      <c r="C2217" s="353" t="s">
        <v>605</v>
      </c>
      <c r="D2217" s="353" t="s">
        <v>620</v>
      </c>
      <c r="E2217" s="369" t="s">
        <v>522</v>
      </c>
      <c r="F2217" s="369" t="s">
        <v>524</v>
      </c>
      <c r="G2217" s="288"/>
      <c r="H2217" s="288"/>
      <c r="I2217" s="288"/>
      <c r="J2217" s="288"/>
      <c r="K2217" s="43">
        <f t="shared" si="707"/>
        <v>0</v>
      </c>
      <c r="L2217" s="43">
        <f t="shared" si="708"/>
        <v>0</v>
      </c>
      <c r="M2217" s="217">
        <f t="shared" si="712"/>
        <v>0</v>
      </c>
      <c r="N2217" s="180"/>
      <c r="R2217" s="288"/>
      <c r="S2217" s="288"/>
      <c r="T2217" s="217"/>
      <c r="U2217" s="288"/>
      <c r="V2217" s="288"/>
      <c r="W2217" s="203">
        <f t="shared" si="726"/>
        <v>0</v>
      </c>
      <c r="X2217" s="203">
        <f t="shared" si="727"/>
        <v>0</v>
      </c>
    </row>
    <row r="2218" spans="1:24" ht="15" hidden="1" x14ac:dyDescent="0.2">
      <c r="A2218" s="124" t="s">
        <v>233</v>
      </c>
      <c r="B2218" s="243" t="s">
        <v>970</v>
      </c>
      <c r="C2218" s="353" t="s">
        <v>605</v>
      </c>
      <c r="D2218" s="353" t="s">
        <v>620</v>
      </c>
      <c r="E2218" s="369" t="s">
        <v>522</v>
      </c>
      <c r="F2218" s="369" t="s">
        <v>635</v>
      </c>
      <c r="G2218" s="288"/>
      <c r="H2218" s="288"/>
      <c r="I2218" s="288"/>
      <c r="J2218" s="288"/>
      <c r="K2218" s="43">
        <f t="shared" si="707"/>
        <v>0</v>
      </c>
      <c r="L2218" s="43">
        <f t="shared" si="708"/>
        <v>0</v>
      </c>
      <c r="M2218" s="217">
        <f t="shared" si="712"/>
        <v>0</v>
      </c>
      <c r="N2218" s="180"/>
      <c r="R2218" s="288"/>
      <c r="S2218" s="288"/>
      <c r="T2218" s="217"/>
      <c r="U2218" s="288"/>
      <c r="V2218" s="288"/>
      <c r="W2218" s="203">
        <f t="shared" si="726"/>
        <v>0</v>
      </c>
      <c r="X2218" s="203">
        <f t="shared" si="727"/>
        <v>0</v>
      </c>
    </row>
    <row r="2219" spans="1:24" ht="15" hidden="1" x14ac:dyDescent="0.2">
      <c r="A2219" s="124" t="s">
        <v>834</v>
      </c>
      <c r="B2219" s="243" t="s">
        <v>970</v>
      </c>
      <c r="C2219" s="353" t="s">
        <v>605</v>
      </c>
      <c r="D2219" s="353" t="s">
        <v>620</v>
      </c>
      <c r="E2219" s="369" t="s">
        <v>522</v>
      </c>
      <c r="F2219" s="369" t="s">
        <v>634</v>
      </c>
      <c r="G2219" s="288"/>
      <c r="H2219" s="288"/>
      <c r="I2219" s="288"/>
      <c r="J2219" s="288"/>
      <c r="K2219" s="43">
        <f t="shared" si="707"/>
        <v>0</v>
      </c>
      <c r="L2219" s="43">
        <f t="shared" si="708"/>
        <v>0</v>
      </c>
      <c r="M2219" s="217">
        <f t="shared" si="712"/>
        <v>0</v>
      </c>
      <c r="N2219" s="180"/>
      <c r="R2219" s="288"/>
      <c r="S2219" s="288"/>
      <c r="T2219" s="217"/>
      <c r="U2219" s="288"/>
      <c r="V2219" s="288"/>
      <c r="W2219" s="203">
        <f t="shared" si="726"/>
        <v>0</v>
      </c>
      <c r="X2219" s="203">
        <f t="shared" si="727"/>
        <v>0</v>
      </c>
    </row>
    <row r="2220" spans="1:24" ht="15" hidden="1" x14ac:dyDescent="0.2">
      <c r="A2220" s="124" t="s">
        <v>837</v>
      </c>
      <c r="B2220" s="243" t="s">
        <v>970</v>
      </c>
      <c r="C2220" s="353" t="s">
        <v>605</v>
      </c>
      <c r="D2220" s="353" t="s">
        <v>620</v>
      </c>
      <c r="E2220" s="369" t="s">
        <v>522</v>
      </c>
      <c r="F2220" s="369" t="s">
        <v>231</v>
      </c>
      <c r="G2220" s="288"/>
      <c r="H2220" s="288"/>
      <c r="I2220" s="288"/>
      <c r="J2220" s="288"/>
      <c r="K2220" s="43">
        <f t="shared" si="707"/>
        <v>0</v>
      </c>
      <c r="L2220" s="43">
        <f t="shared" si="708"/>
        <v>0</v>
      </c>
      <c r="M2220" s="217">
        <f t="shared" si="712"/>
        <v>0</v>
      </c>
      <c r="N2220" s="180"/>
      <c r="R2220" s="288"/>
      <c r="S2220" s="288"/>
      <c r="T2220" s="217"/>
      <c r="U2220" s="288"/>
      <c r="V2220" s="288"/>
      <c r="W2220" s="203">
        <f t="shared" si="726"/>
        <v>0</v>
      </c>
      <c r="X2220" s="203">
        <f t="shared" si="727"/>
        <v>0</v>
      </c>
    </row>
    <row r="2221" spans="1:24" ht="15" hidden="1" x14ac:dyDescent="0.2">
      <c r="A2221" s="451" t="s">
        <v>1050</v>
      </c>
      <c r="B2221" s="306" t="s">
        <v>970</v>
      </c>
      <c r="C2221" s="354" t="s">
        <v>605</v>
      </c>
      <c r="D2221" s="354" t="s">
        <v>620</v>
      </c>
      <c r="E2221" s="450" t="s">
        <v>1049</v>
      </c>
      <c r="F2221" s="450"/>
      <c r="G2221" s="498">
        <f>SUM(G2222:G2223)</f>
        <v>0</v>
      </c>
      <c r="H2221" s="498">
        <f>SUM(H2222:H2223)</f>
        <v>0</v>
      </c>
      <c r="I2221" s="591">
        <f>SUM(I2222:I2223)</f>
        <v>0</v>
      </c>
      <c r="J2221" s="591">
        <f>SUM(J2222:J2223)</f>
        <v>0</v>
      </c>
      <c r="K2221" s="591">
        <f t="shared" si="707"/>
        <v>0</v>
      </c>
      <c r="L2221" s="591">
        <f t="shared" si="708"/>
        <v>0</v>
      </c>
      <c r="M2221" s="217">
        <f t="shared" si="712"/>
        <v>0</v>
      </c>
      <c r="N2221" s="180"/>
      <c r="R2221" s="591">
        <f>SUM(R2222:R2223)</f>
        <v>0</v>
      </c>
      <c r="S2221" s="591">
        <f>SUM(S2222:S2223)</f>
        <v>0</v>
      </c>
      <c r="T2221" s="217"/>
      <c r="U2221" s="498">
        <f>SUM(U2222:U2223)</f>
        <v>0</v>
      </c>
      <c r="V2221" s="498">
        <f>SUM(V2222:V2223)</f>
        <v>0</v>
      </c>
      <c r="W2221" s="203">
        <f t="shared" si="726"/>
        <v>0</v>
      </c>
      <c r="X2221" s="203">
        <f t="shared" si="727"/>
        <v>0</v>
      </c>
    </row>
    <row r="2222" spans="1:24" ht="15" hidden="1" x14ac:dyDescent="0.2">
      <c r="A2222" s="124" t="s">
        <v>523</v>
      </c>
      <c r="B2222" s="243" t="s">
        <v>970</v>
      </c>
      <c r="C2222" s="353" t="s">
        <v>605</v>
      </c>
      <c r="D2222" s="353" t="s">
        <v>620</v>
      </c>
      <c r="E2222" s="369" t="s">
        <v>1049</v>
      </c>
      <c r="F2222" s="369" t="s">
        <v>129</v>
      </c>
      <c r="G2222" s="288"/>
      <c r="H2222" s="288"/>
      <c r="I2222" s="288"/>
      <c r="J2222" s="288"/>
      <c r="K2222" s="43">
        <f t="shared" si="707"/>
        <v>0</v>
      </c>
      <c r="L2222" s="43">
        <f t="shared" si="708"/>
        <v>0</v>
      </c>
      <c r="M2222" s="217">
        <f t="shared" si="712"/>
        <v>0</v>
      </c>
      <c r="N2222" s="180"/>
      <c r="R2222" s="288"/>
      <c r="S2222" s="288"/>
      <c r="T2222" s="217"/>
      <c r="U2222" s="288"/>
      <c r="V2222" s="288"/>
      <c r="W2222" s="203">
        <f t="shared" si="726"/>
        <v>0</v>
      </c>
      <c r="X2222" s="203">
        <f t="shared" si="727"/>
        <v>0</v>
      </c>
    </row>
    <row r="2223" spans="1:24" ht="25.5" hidden="1" x14ac:dyDescent="0.2">
      <c r="A2223" s="124" t="s">
        <v>572</v>
      </c>
      <c r="B2223" s="243" t="s">
        <v>970</v>
      </c>
      <c r="C2223" s="353" t="s">
        <v>605</v>
      </c>
      <c r="D2223" s="353" t="s">
        <v>620</v>
      </c>
      <c r="E2223" s="369" t="s">
        <v>1049</v>
      </c>
      <c r="F2223" s="369" t="s">
        <v>524</v>
      </c>
      <c r="G2223" s="288"/>
      <c r="H2223" s="288"/>
      <c r="I2223" s="288"/>
      <c r="J2223" s="288"/>
      <c r="K2223" s="43">
        <f t="shared" si="707"/>
        <v>0</v>
      </c>
      <c r="L2223" s="43">
        <f t="shared" si="708"/>
        <v>0</v>
      </c>
      <c r="M2223" s="217">
        <f t="shared" si="712"/>
        <v>0</v>
      </c>
      <c r="N2223" s="180"/>
      <c r="R2223" s="288"/>
      <c r="S2223" s="288"/>
      <c r="T2223" s="217"/>
      <c r="U2223" s="288"/>
      <c r="V2223" s="288"/>
      <c r="W2223" s="203">
        <f t="shared" si="726"/>
        <v>0</v>
      </c>
      <c r="X2223" s="203">
        <f t="shared" si="727"/>
        <v>0</v>
      </c>
    </row>
    <row r="2224" spans="1:24" ht="15" x14ac:dyDescent="0.2">
      <c r="A2224" s="746" t="s">
        <v>286</v>
      </c>
      <c r="B2224" s="306" t="s">
        <v>970</v>
      </c>
      <c r="C2224" s="354" t="s">
        <v>8</v>
      </c>
      <c r="D2224" s="354"/>
      <c r="E2224" s="450"/>
      <c r="F2224" s="450"/>
      <c r="G2224" s="591">
        <f>G2225</f>
        <v>844.5</v>
      </c>
      <c r="H2224" s="591">
        <f>H2225</f>
        <v>0</v>
      </c>
      <c r="I2224" s="591">
        <f>I2225</f>
        <v>854.5</v>
      </c>
      <c r="J2224" s="591">
        <f>J2225</f>
        <v>0</v>
      </c>
      <c r="K2224" s="591">
        <f t="shared" si="707"/>
        <v>10</v>
      </c>
      <c r="L2224" s="591">
        <f t="shared" si="708"/>
        <v>0</v>
      </c>
      <c r="M2224" s="217">
        <f t="shared" si="712"/>
        <v>0</v>
      </c>
      <c r="N2224" s="180"/>
      <c r="R2224" s="591">
        <f>R2225</f>
        <v>165</v>
      </c>
      <c r="S2224" s="591">
        <f>S2225</f>
        <v>0</v>
      </c>
      <c r="T2224" s="217"/>
      <c r="U2224" s="498">
        <f>U2225</f>
        <v>150.04082</v>
      </c>
      <c r="V2224" s="498">
        <f>V2225</f>
        <v>0</v>
      </c>
      <c r="W2224" s="203">
        <f t="shared" si="726"/>
        <v>-10</v>
      </c>
      <c r="X2224" s="203">
        <f t="shared" si="727"/>
        <v>0</v>
      </c>
    </row>
    <row r="2225" spans="1:24" ht="15" x14ac:dyDescent="0.2">
      <c r="A2225" s="746" t="s">
        <v>654</v>
      </c>
      <c r="B2225" s="306" t="s">
        <v>970</v>
      </c>
      <c r="C2225" s="354" t="s">
        <v>8</v>
      </c>
      <c r="D2225" s="354" t="s">
        <v>8</v>
      </c>
      <c r="E2225" s="450"/>
      <c r="F2225" s="450"/>
      <c r="G2225" s="591">
        <f t="shared" ref="G2225:L2225" si="728">G2226+G2248+G2244+G2261</f>
        <v>844.5</v>
      </c>
      <c r="H2225" s="591">
        <f t="shared" si="728"/>
        <v>0</v>
      </c>
      <c r="I2225" s="591">
        <f t="shared" si="728"/>
        <v>854.5</v>
      </c>
      <c r="J2225" s="591">
        <f t="shared" si="728"/>
        <v>0</v>
      </c>
      <c r="K2225" s="591">
        <f t="shared" si="728"/>
        <v>10</v>
      </c>
      <c r="L2225" s="591">
        <f t="shared" si="728"/>
        <v>0</v>
      </c>
      <c r="M2225" s="217">
        <f t="shared" si="712"/>
        <v>0</v>
      </c>
      <c r="N2225" s="180"/>
      <c r="R2225" s="591">
        <f>R2226+R2248</f>
        <v>165</v>
      </c>
      <c r="S2225" s="591">
        <f>S2226+S2248</f>
        <v>0</v>
      </c>
      <c r="T2225" s="217"/>
      <c r="U2225" s="498">
        <f>U2226+U2248</f>
        <v>150.04082</v>
      </c>
      <c r="V2225" s="498">
        <f>V2226+V2248</f>
        <v>0</v>
      </c>
      <c r="W2225" s="203">
        <f t="shared" si="726"/>
        <v>-10</v>
      </c>
      <c r="X2225" s="203">
        <f t="shared" si="727"/>
        <v>0</v>
      </c>
    </row>
    <row r="2226" spans="1:24" ht="15" customHeight="1" x14ac:dyDescent="0.2">
      <c r="A2226" s="746" t="s">
        <v>341</v>
      </c>
      <c r="B2226" s="306" t="s">
        <v>970</v>
      </c>
      <c r="C2226" s="354" t="s">
        <v>8</v>
      </c>
      <c r="D2226" s="354" t="s">
        <v>8</v>
      </c>
      <c r="E2226" s="450" t="s">
        <v>342</v>
      </c>
      <c r="F2226" s="450"/>
      <c r="G2226" s="591">
        <f>G2227</f>
        <v>130.5</v>
      </c>
      <c r="H2226" s="591">
        <f>H2227</f>
        <v>0</v>
      </c>
      <c r="I2226" s="591">
        <f>I2227</f>
        <v>130.5</v>
      </c>
      <c r="J2226" s="591">
        <f>J2227</f>
        <v>0</v>
      </c>
      <c r="K2226" s="591">
        <f t="shared" si="707"/>
        <v>0</v>
      </c>
      <c r="L2226" s="591">
        <f t="shared" si="708"/>
        <v>0</v>
      </c>
      <c r="M2226" s="217">
        <f t="shared" si="712"/>
        <v>0</v>
      </c>
      <c r="N2226" s="180"/>
      <c r="R2226" s="591">
        <f>R2227</f>
        <v>165</v>
      </c>
      <c r="S2226" s="591">
        <f>S2227</f>
        <v>0</v>
      </c>
      <c r="T2226" s="217"/>
      <c r="U2226" s="498">
        <f>U2227</f>
        <v>150.04082</v>
      </c>
      <c r="V2226" s="498">
        <f>V2227</f>
        <v>0</v>
      </c>
      <c r="W2226" s="203">
        <f t="shared" si="726"/>
        <v>0</v>
      </c>
      <c r="X2226" s="203">
        <f t="shared" si="727"/>
        <v>0</v>
      </c>
    </row>
    <row r="2227" spans="1:24" ht="15" x14ac:dyDescent="0.2">
      <c r="A2227" s="746" t="s">
        <v>1320</v>
      </c>
      <c r="B2227" s="306" t="s">
        <v>970</v>
      </c>
      <c r="C2227" s="354" t="s">
        <v>8</v>
      </c>
      <c r="D2227" s="354" t="s">
        <v>8</v>
      </c>
      <c r="E2227" s="450">
        <v>7540000000</v>
      </c>
      <c r="F2227" s="450"/>
      <c r="G2227" s="591">
        <f>G2228+G2231+G2234+G2237+G2240</f>
        <v>130.5</v>
      </c>
      <c r="H2227" s="591">
        <f>H2228+H2231+H2234+H2237+H2240</f>
        <v>0</v>
      </c>
      <c r="I2227" s="591">
        <f>I2228+I2231+I2234+I2237+I2240</f>
        <v>130.5</v>
      </c>
      <c r="J2227" s="591">
        <f>J2228+J2231+J2234+J2237+J2240</f>
        <v>0</v>
      </c>
      <c r="K2227" s="591">
        <f t="shared" si="707"/>
        <v>0</v>
      </c>
      <c r="L2227" s="591">
        <f t="shared" si="708"/>
        <v>0</v>
      </c>
      <c r="M2227" s="217">
        <f t="shared" si="712"/>
        <v>0</v>
      </c>
      <c r="N2227" s="180"/>
      <c r="R2227" s="591">
        <f>R2228+R2231+R2234+R2237+R2240</f>
        <v>165</v>
      </c>
      <c r="S2227" s="591">
        <f>S2228+S2231+S2234+S2237+S2240</f>
        <v>0</v>
      </c>
      <c r="T2227" s="217"/>
      <c r="U2227" s="498">
        <f>U2228+U2231+U2234+U2237+U2240</f>
        <v>150.04082</v>
      </c>
      <c r="V2227" s="498">
        <f>V2228+V2231+V2234+V2237+V2240</f>
        <v>0</v>
      </c>
      <c r="W2227" s="203">
        <f t="shared" si="726"/>
        <v>0</v>
      </c>
      <c r="X2227" s="203">
        <f t="shared" si="727"/>
        <v>0</v>
      </c>
    </row>
    <row r="2228" spans="1:24" ht="25.5" hidden="1" x14ac:dyDescent="0.2">
      <c r="A2228" s="451" t="s">
        <v>1321</v>
      </c>
      <c r="B2228" s="306" t="s">
        <v>970</v>
      </c>
      <c r="C2228" s="354" t="s">
        <v>8</v>
      </c>
      <c r="D2228" s="354" t="s">
        <v>8</v>
      </c>
      <c r="E2228" s="450">
        <v>7540100000</v>
      </c>
      <c r="F2228" s="450"/>
      <c r="G2228" s="498">
        <f t="shared" ref="G2228:J2229" si="729">G2229</f>
        <v>0</v>
      </c>
      <c r="H2228" s="498">
        <f t="shared" si="729"/>
        <v>0</v>
      </c>
      <c r="I2228" s="591">
        <f t="shared" si="729"/>
        <v>0</v>
      </c>
      <c r="J2228" s="591">
        <f t="shared" si="729"/>
        <v>0</v>
      </c>
      <c r="K2228" s="591">
        <f t="shared" si="707"/>
        <v>0</v>
      </c>
      <c r="L2228" s="591">
        <f t="shared" si="708"/>
        <v>0</v>
      </c>
      <c r="M2228" s="217">
        <f t="shared" si="712"/>
        <v>0</v>
      </c>
      <c r="N2228" s="180"/>
      <c r="R2228" s="591">
        <f>R2229</f>
        <v>6</v>
      </c>
      <c r="S2228" s="591">
        <f>S2229</f>
        <v>0</v>
      </c>
      <c r="T2228" s="217"/>
      <c r="U2228" s="498">
        <f>U2229</f>
        <v>3</v>
      </c>
      <c r="V2228" s="498">
        <f>V2229</f>
        <v>0</v>
      </c>
      <c r="W2228" s="203">
        <f t="shared" si="726"/>
        <v>0</v>
      </c>
      <c r="X2228" s="203">
        <f t="shared" si="727"/>
        <v>0</v>
      </c>
    </row>
    <row r="2229" spans="1:24" ht="15" hidden="1" x14ac:dyDescent="0.2">
      <c r="A2229" s="451" t="s">
        <v>45</v>
      </c>
      <c r="B2229" s="306" t="s">
        <v>970</v>
      </c>
      <c r="C2229" s="354" t="s">
        <v>8</v>
      </c>
      <c r="D2229" s="354" t="s">
        <v>8</v>
      </c>
      <c r="E2229" s="450">
        <v>7540182050</v>
      </c>
      <c r="F2229" s="450"/>
      <c r="G2229" s="498">
        <f t="shared" si="729"/>
        <v>0</v>
      </c>
      <c r="H2229" s="498">
        <f t="shared" si="729"/>
        <v>0</v>
      </c>
      <c r="I2229" s="591">
        <f t="shared" si="729"/>
        <v>0</v>
      </c>
      <c r="J2229" s="591">
        <f t="shared" si="729"/>
        <v>0</v>
      </c>
      <c r="K2229" s="591">
        <f t="shared" si="707"/>
        <v>0</v>
      </c>
      <c r="L2229" s="591">
        <f t="shared" si="708"/>
        <v>0</v>
      </c>
      <c r="M2229" s="217">
        <f t="shared" si="712"/>
        <v>0</v>
      </c>
      <c r="N2229" s="180"/>
      <c r="R2229" s="591">
        <f>R2230</f>
        <v>6</v>
      </c>
      <c r="S2229" s="591">
        <f>S2230</f>
        <v>0</v>
      </c>
      <c r="T2229" s="217"/>
      <c r="U2229" s="498">
        <f>U2230</f>
        <v>3</v>
      </c>
      <c r="V2229" s="498">
        <f>V2230</f>
        <v>0</v>
      </c>
      <c r="W2229" s="203">
        <f t="shared" si="726"/>
        <v>0</v>
      </c>
      <c r="X2229" s="203">
        <f t="shared" si="727"/>
        <v>0</v>
      </c>
    </row>
    <row r="2230" spans="1:24" ht="15" hidden="1" x14ac:dyDescent="0.2">
      <c r="A2230" s="124" t="s">
        <v>1140</v>
      </c>
      <c r="B2230" s="243" t="s">
        <v>970</v>
      </c>
      <c r="C2230" s="353" t="s">
        <v>8</v>
      </c>
      <c r="D2230" s="353" t="s">
        <v>8</v>
      </c>
      <c r="E2230" s="369">
        <v>7540182050</v>
      </c>
      <c r="F2230" s="369">
        <v>350</v>
      </c>
      <c r="G2230" s="288"/>
      <c r="H2230" s="288"/>
      <c r="I2230" s="288"/>
      <c r="J2230" s="288"/>
      <c r="K2230" s="43">
        <f t="shared" si="707"/>
        <v>0</v>
      </c>
      <c r="L2230" s="43">
        <f t="shared" si="708"/>
        <v>0</v>
      </c>
      <c r="M2230" s="217">
        <f t="shared" si="712"/>
        <v>0</v>
      </c>
      <c r="N2230" s="180"/>
      <c r="P2230" s="166">
        <f>G2230+G2233+G2236+G2239</f>
        <v>28.5</v>
      </c>
      <c r="R2230" s="288">
        <v>6</v>
      </c>
      <c r="S2230" s="288">
        <v>0</v>
      </c>
      <c r="T2230" s="217"/>
      <c r="U2230" s="288">
        <v>3</v>
      </c>
      <c r="V2230" s="288">
        <v>0</v>
      </c>
      <c r="W2230" s="203">
        <f t="shared" si="726"/>
        <v>0</v>
      </c>
      <c r="X2230" s="203">
        <f t="shared" si="727"/>
        <v>0</v>
      </c>
    </row>
    <row r="2231" spans="1:24" ht="15" x14ac:dyDescent="0.2">
      <c r="A2231" s="746" t="s">
        <v>1322</v>
      </c>
      <c r="B2231" s="306" t="s">
        <v>970</v>
      </c>
      <c r="C2231" s="354" t="s">
        <v>8</v>
      </c>
      <c r="D2231" s="354" t="s">
        <v>8</v>
      </c>
      <c r="E2231" s="450">
        <v>7540200000</v>
      </c>
      <c r="F2231" s="450"/>
      <c r="G2231" s="591">
        <f t="shared" ref="G2231:J2232" si="730">G2232</f>
        <v>14</v>
      </c>
      <c r="H2231" s="591">
        <f t="shared" si="730"/>
        <v>0</v>
      </c>
      <c r="I2231" s="591">
        <f t="shared" si="730"/>
        <v>14</v>
      </c>
      <c r="J2231" s="591">
        <f t="shared" si="730"/>
        <v>0</v>
      </c>
      <c r="K2231" s="591">
        <f t="shared" si="707"/>
        <v>0</v>
      </c>
      <c r="L2231" s="591">
        <f t="shared" si="708"/>
        <v>0</v>
      </c>
      <c r="M2231" s="217">
        <f t="shared" si="712"/>
        <v>0</v>
      </c>
      <c r="N2231" s="180"/>
      <c r="R2231" s="591">
        <f>R2232</f>
        <v>6</v>
      </c>
      <c r="S2231" s="591">
        <f>S2232</f>
        <v>0</v>
      </c>
      <c r="T2231" s="217"/>
      <c r="U2231" s="498">
        <f>U2232</f>
        <v>3</v>
      </c>
      <c r="V2231" s="498">
        <f>V2232</f>
        <v>0</v>
      </c>
      <c r="W2231" s="203"/>
      <c r="X2231" s="203"/>
    </row>
    <row r="2232" spans="1:24" ht="15" x14ac:dyDescent="0.2">
      <c r="A2232" s="746" t="s">
        <v>45</v>
      </c>
      <c r="B2232" s="306" t="s">
        <v>970</v>
      </c>
      <c r="C2232" s="354" t="s">
        <v>8</v>
      </c>
      <c r="D2232" s="354" t="s">
        <v>8</v>
      </c>
      <c r="E2232" s="450">
        <v>7540282050</v>
      </c>
      <c r="F2232" s="450"/>
      <c r="G2232" s="591">
        <f t="shared" si="730"/>
        <v>14</v>
      </c>
      <c r="H2232" s="591">
        <f t="shared" si="730"/>
        <v>0</v>
      </c>
      <c r="I2232" s="591">
        <f t="shared" si="730"/>
        <v>14</v>
      </c>
      <c r="J2232" s="591">
        <f t="shared" si="730"/>
        <v>0</v>
      </c>
      <c r="K2232" s="591">
        <f t="shared" si="707"/>
        <v>0</v>
      </c>
      <c r="L2232" s="591">
        <f t="shared" si="708"/>
        <v>0</v>
      </c>
      <c r="M2232" s="217">
        <f t="shared" si="712"/>
        <v>0</v>
      </c>
      <c r="N2232" s="180"/>
      <c r="R2232" s="591">
        <f>R2233</f>
        <v>6</v>
      </c>
      <c r="S2232" s="591">
        <f>S2233</f>
        <v>0</v>
      </c>
      <c r="T2232" s="217"/>
      <c r="U2232" s="498">
        <f>U2233</f>
        <v>3</v>
      </c>
      <c r="V2232" s="498">
        <f>V2233</f>
        <v>0</v>
      </c>
      <c r="W2232" s="203"/>
      <c r="X2232" s="203"/>
    </row>
    <row r="2233" spans="1:24" ht="15" x14ac:dyDescent="0.2">
      <c r="A2233" s="739" t="s">
        <v>1140</v>
      </c>
      <c r="B2233" s="243" t="s">
        <v>970</v>
      </c>
      <c r="C2233" s="353" t="s">
        <v>8</v>
      </c>
      <c r="D2233" s="353" t="s">
        <v>8</v>
      </c>
      <c r="E2233" s="369">
        <v>7540282050</v>
      </c>
      <c r="F2233" s="369">
        <v>350</v>
      </c>
      <c r="G2233" s="288">
        <v>14</v>
      </c>
      <c r="H2233" s="288"/>
      <c r="I2233" s="288">
        <v>14</v>
      </c>
      <c r="J2233" s="288"/>
      <c r="K2233" s="43">
        <f t="shared" si="707"/>
        <v>0</v>
      </c>
      <c r="L2233" s="43">
        <f t="shared" si="708"/>
        <v>0</v>
      </c>
      <c r="M2233" s="217">
        <f t="shared" si="712"/>
        <v>0</v>
      </c>
      <c r="N2233" s="180"/>
      <c r="R2233" s="288">
        <v>6</v>
      </c>
      <c r="S2233" s="288">
        <v>0</v>
      </c>
      <c r="T2233" s="217"/>
      <c r="U2233" s="288">
        <v>3</v>
      </c>
      <c r="V2233" s="288">
        <v>0</v>
      </c>
      <c r="W2233" s="203"/>
      <c r="X2233" s="203"/>
    </row>
    <row r="2234" spans="1:24" ht="15" hidden="1" x14ac:dyDescent="0.2">
      <c r="A2234" s="451" t="s">
        <v>1323</v>
      </c>
      <c r="B2234" s="306" t="s">
        <v>970</v>
      </c>
      <c r="C2234" s="354" t="s">
        <v>8</v>
      </c>
      <c r="D2234" s="354" t="s">
        <v>8</v>
      </c>
      <c r="E2234" s="450">
        <v>7540300000</v>
      </c>
      <c r="F2234" s="450"/>
      <c r="G2234" s="498">
        <f t="shared" ref="G2234:J2235" si="731">G2235</f>
        <v>0</v>
      </c>
      <c r="H2234" s="498">
        <f t="shared" si="731"/>
        <v>0</v>
      </c>
      <c r="I2234" s="591">
        <f t="shared" si="731"/>
        <v>0</v>
      </c>
      <c r="J2234" s="591">
        <f t="shared" si="731"/>
        <v>0</v>
      </c>
      <c r="K2234" s="591">
        <f t="shared" ref="K2234:K2303" si="732">I2234-G2234</f>
        <v>0</v>
      </c>
      <c r="L2234" s="591">
        <f t="shared" ref="L2234:L2303" si="733">J2234-H2234</f>
        <v>0</v>
      </c>
      <c r="M2234" s="217">
        <f t="shared" si="712"/>
        <v>0</v>
      </c>
      <c r="N2234" s="180"/>
      <c r="R2234" s="591">
        <f>R2235</f>
        <v>31</v>
      </c>
      <c r="S2234" s="591">
        <f>S2235</f>
        <v>0</v>
      </c>
      <c r="T2234" s="217"/>
      <c r="U2234" s="498">
        <f>U2235</f>
        <v>27</v>
      </c>
      <c r="V2234" s="498">
        <f>V2235</f>
        <v>0</v>
      </c>
      <c r="W2234" s="203"/>
      <c r="X2234" s="203"/>
    </row>
    <row r="2235" spans="1:24" ht="15" hidden="1" x14ac:dyDescent="0.2">
      <c r="A2235" s="451" t="s">
        <v>45</v>
      </c>
      <c r="B2235" s="306" t="s">
        <v>970</v>
      </c>
      <c r="C2235" s="354" t="s">
        <v>8</v>
      </c>
      <c r="D2235" s="354" t="s">
        <v>8</v>
      </c>
      <c r="E2235" s="450">
        <v>7540382050</v>
      </c>
      <c r="F2235" s="450"/>
      <c r="G2235" s="498">
        <f t="shared" si="731"/>
        <v>0</v>
      </c>
      <c r="H2235" s="498">
        <f t="shared" si="731"/>
        <v>0</v>
      </c>
      <c r="I2235" s="591">
        <f t="shared" si="731"/>
        <v>0</v>
      </c>
      <c r="J2235" s="591">
        <f t="shared" si="731"/>
        <v>0</v>
      </c>
      <c r="K2235" s="591">
        <f t="shared" si="732"/>
        <v>0</v>
      </c>
      <c r="L2235" s="591">
        <f t="shared" si="733"/>
        <v>0</v>
      </c>
      <c r="M2235" s="217">
        <f t="shared" si="712"/>
        <v>0</v>
      </c>
      <c r="N2235" s="180"/>
      <c r="R2235" s="591">
        <f>R2236</f>
        <v>31</v>
      </c>
      <c r="S2235" s="591">
        <f>S2236</f>
        <v>0</v>
      </c>
      <c r="T2235" s="217"/>
      <c r="U2235" s="498">
        <f>U2236</f>
        <v>27</v>
      </c>
      <c r="V2235" s="498">
        <f>V2236</f>
        <v>0</v>
      </c>
      <c r="W2235" s="203"/>
      <c r="X2235" s="203"/>
    </row>
    <row r="2236" spans="1:24" ht="15" hidden="1" x14ac:dyDescent="0.2">
      <c r="A2236" s="124" t="s">
        <v>1140</v>
      </c>
      <c r="B2236" s="243" t="s">
        <v>970</v>
      </c>
      <c r="C2236" s="353" t="s">
        <v>8</v>
      </c>
      <c r="D2236" s="353" t="s">
        <v>8</v>
      </c>
      <c r="E2236" s="369">
        <v>7540382050</v>
      </c>
      <c r="F2236" s="369">
        <v>350</v>
      </c>
      <c r="G2236" s="288">
        <v>0</v>
      </c>
      <c r="H2236" s="288"/>
      <c r="I2236" s="288">
        <v>0</v>
      </c>
      <c r="J2236" s="288"/>
      <c r="K2236" s="43">
        <f t="shared" si="732"/>
        <v>0</v>
      </c>
      <c r="L2236" s="43">
        <f t="shared" si="733"/>
        <v>0</v>
      </c>
      <c r="M2236" s="217">
        <f t="shared" si="712"/>
        <v>0</v>
      </c>
      <c r="N2236" s="180"/>
      <c r="R2236" s="288">
        <v>31</v>
      </c>
      <c r="S2236" s="288">
        <v>0</v>
      </c>
      <c r="T2236" s="217"/>
      <c r="U2236" s="288">
        <v>27</v>
      </c>
      <c r="V2236" s="288">
        <v>0</v>
      </c>
      <c r="W2236" s="203"/>
      <c r="X2236" s="203"/>
    </row>
    <row r="2237" spans="1:24" ht="25.5" x14ac:dyDescent="0.2">
      <c r="A2237" s="746" t="s">
        <v>1324</v>
      </c>
      <c r="B2237" s="306" t="s">
        <v>970</v>
      </c>
      <c r="C2237" s="354" t="s">
        <v>8</v>
      </c>
      <c r="D2237" s="354" t="s">
        <v>8</v>
      </c>
      <c r="E2237" s="450">
        <v>7540400000</v>
      </c>
      <c r="F2237" s="450"/>
      <c r="G2237" s="591">
        <f t="shared" ref="G2237:J2238" si="734">G2238</f>
        <v>14.5</v>
      </c>
      <c r="H2237" s="591">
        <f t="shared" si="734"/>
        <v>0</v>
      </c>
      <c r="I2237" s="591">
        <f t="shared" si="734"/>
        <v>14.5</v>
      </c>
      <c r="J2237" s="591">
        <f t="shared" si="734"/>
        <v>0</v>
      </c>
      <c r="K2237" s="591">
        <f t="shared" si="732"/>
        <v>0</v>
      </c>
      <c r="L2237" s="591">
        <f t="shared" si="733"/>
        <v>0</v>
      </c>
      <c r="M2237" s="217">
        <f t="shared" si="712"/>
        <v>0</v>
      </c>
      <c r="N2237" s="180"/>
      <c r="R2237" s="591">
        <f>R2238</f>
        <v>20</v>
      </c>
      <c r="S2237" s="591">
        <f>S2238</f>
        <v>0</v>
      </c>
      <c r="T2237" s="217"/>
      <c r="U2237" s="498">
        <f t="shared" ref="U2237:V2240" si="735">U2238</f>
        <v>15</v>
      </c>
      <c r="V2237" s="498">
        <f t="shared" si="735"/>
        <v>0</v>
      </c>
      <c r="W2237" s="203"/>
      <c r="X2237" s="203"/>
    </row>
    <row r="2238" spans="1:24" ht="15" x14ac:dyDescent="0.2">
      <c r="A2238" s="746" t="s">
        <v>45</v>
      </c>
      <c r="B2238" s="306" t="s">
        <v>970</v>
      </c>
      <c r="C2238" s="354" t="s">
        <v>8</v>
      </c>
      <c r="D2238" s="354" t="s">
        <v>8</v>
      </c>
      <c r="E2238" s="450">
        <v>7540482050</v>
      </c>
      <c r="F2238" s="450"/>
      <c r="G2238" s="591">
        <f t="shared" si="734"/>
        <v>14.5</v>
      </c>
      <c r="H2238" s="591">
        <f t="shared" si="734"/>
        <v>0</v>
      </c>
      <c r="I2238" s="591">
        <f t="shared" si="734"/>
        <v>14.5</v>
      </c>
      <c r="J2238" s="591">
        <f t="shared" si="734"/>
        <v>0</v>
      </c>
      <c r="K2238" s="591">
        <f t="shared" si="732"/>
        <v>0</v>
      </c>
      <c r="L2238" s="591">
        <f t="shared" si="733"/>
        <v>0</v>
      </c>
      <c r="M2238" s="217">
        <f t="shared" si="712"/>
        <v>0</v>
      </c>
      <c r="N2238" s="180"/>
      <c r="R2238" s="591">
        <f>R2239</f>
        <v>20</v>
      </c>
      <c r="S2238" s="591">
        <f>S2239</f>
        <v>0</v>
      </c>
      <c r="T2238" s="217"/>
      <c r="U2238" s="498">
        <f t="shared" si="735"/>
        <v>15</v>
      </c>
      <c r="V2238" s="498">
        <f t="shared" si="735"/>
        <v>0</v>
      </c>
      <c r="W2238" s="203"/>
      <c r="X2238" s="203"/>
    </row>
    <row r="2239" spans="1:24" ht="15" x14ac:dyDescent="0.2">
      <c r="A2239" s="739" t="s">
        <v>1140</v>
      </c>
      <c r="B2239" s="243" t="s">
        <v>970</v>
      </c>
      <c r="C2239" s="353" t="s">
        <v>8</v>
      </c>
      <c r="D2239" s="353" t="s">
        <v>8</v>
      </c>
      <c r="E2239" s="369">
        <v>7540482050</v>
      </c>
      <c r="F2239" s="369">
        <v>350</v>
      </c>
      <c r="G2239" s="288">
        <v>14.5</v>
      </c>
      <c r="H2239" s="288"/>
      <c r="I2239" s="288">
        <v>14.5</v>
      </c>
      <c r="J2239" s="288"/>
      <c r="K2239" s="43">
        <f t="shared" si="732"/>
        <v>0</v>
      </c>
      <c r="L2239" s="43">
        <f t="shared" si="733"/>
        <v>0</v>
      </c>
      <c r="M2239" s="217">
        <f t="shared" si="712"/>
        <v>0</v>
      </c>
      <c r="N2239" s="180"/>
      <c r="R2239" s="288">
        <v>20</v>
      </c>
      <c r="S2239" s="288">
        <v>0</v>
      </c>
      <c r="T2239" s="217"/>
      <c r="U2239" s="288">
        <v>15</v>
      </c>
      <c r="V2239" s="288">
        <v>0</v>
      </c>
      <c r="W2239" s="203"/>
      <c r="X2239" s="203"/>
    </row>
    <row r="2240" spans="1:24" ht="15" x14ac:dyDescent="0.2">
      <c r="A2240" s="746" t="s">
        <v>1854</v>
      </c>
      <c r="B2240" s="306" t="s">
        <v>970</v>
      </c>
      <c r="C2240" s="354" t="s">
        <v>8</v>
      </c>
      <c r="D2240" s="354" t="s">
        <v>8</v>
      </c>
      <c r="E2240" s="667" t="s">
        <v>1855</v>
      </c>
      <c r="F2240" s="450"/>
      <c r="G2240" s="591">
        <f>G2241</f>
        <v>102</v>
      </c>
      <c r="H2240" s="591">
        <f>H2241</f>
        <v>0</v>
      </c>
      <c r="I2240" s="591">
        <f>I2241</f>
        <v>102</v>
      </c>
      <c r="J2240" s="591">
        <f>J2241</f>
        <v>0</v>
      </c>
      <c r="K2240" s="591">
        <f t="shared" si="732"/>
        <v>0</v>
      </c>
      <c r="L2240" s="591">
        <f t="shared" si="733"/>
        <v>0</v>
      </c>
      <c r="M2240" s="217">
        <f t="shared" si="712"/>
        <v>0</v>
      </c>
      <c r="N2240" s="180"/>
      <c r="R2240" s="591">
        <f>R2241</f>
        <v>102</v>
      </c>
      <c r="S2240" s="591">
        <f>S2241</f>
        <v>0</v>
      </c>
      <c r="T2240" s="217"/>
      <c r="U2240" s="498">
        <f t="shared" si="735"/>
        <v>102.04082</v>
      </c>
      <c r="V2240" s="498">
        <f t="shared" si="735"/>
        <v>0</v>
      </c>
      <c r="W2240" s="203"/>
      <c r="X2240" s="203"/>
    </row>
    <row r="2241" spans="1:24" ht="15" x14ac:dyDescent="0.2">
      <c r="A2241" s="746" t="s">
        <v>1453</v>
      </c>
      <c r="B2241" s="306" t="s">
        <v>970</v>
      </c>
      <c r="C2241" s="354" t="s">
        <v>8</v>
      </c>
      <c r="D2241" s="354" t="s">
        <v>8</v>
      </c>
      <c r="E2241" s="667" t="s">
        <v>1892</v>
      </c>
      <c r="F2241" s="450"/>
      <c r="G2241" s="591">
        <f>G2242+G2243</f>
        <v>102</v>
      </c>
      <c r="H2241" s="591">
        <f>H2242+H2243</f>
        <v>0</v>
      </c>
      <c r="I2241" s="591">
        <f>I2242+I2243</f>
        <v>102</v>
      </c>
      <c r="J2241" s="591">
        <f>J2242+J2243</f>
        <v>0</v>
      </c>
      <c r="K2241" s="591">
        <f t="shared" si="732"/>
        <v>0</v>
      </c>
      <c r="L2241" s="591">
        <f t="shared" si="733"/>
        <v>0</v>
      </c>
      <c r="M2241" s="217">
        <f t="shared" si="712"/>
        <v>0</v>
      </c>
      <c r="N2241" s="180"/>
      <c r="R2241" s="591">
        <f>R2242+R2243</f>
        <v>102</v>
      </c>
      <c r="S2241" s="591">
        <f>S2242+S2243</f>
        <v>0</v>
      </c>
      <c r="T2241" s="217"/>
      <c r="U2241" s="498">
        <f>U2242+U2243</f>
        <v>102.04082</v>
      </c>
      <c r="V2241" s="498">
        <f>V2242+V2243</f>
        <v>0</v>
      </c>
      <c r="W2241" s="203"/>
      <c r="X2241" s="203"/>
    </row>
    <row r="2242" spans="1:24" ht="15" hidden="1" x14ac:dyDescent="0.2">
      <c r="A2242" s="124" t="s">
        <v>834</v>
      </c>
      <c r="B2242" s="243" t="s">
        <v>970</v>
      </c>
      <c r="C2242" s="353" t="s">
        <v>8</v>
      </c>
      <c r="D2242" s="353" t="s">
        <v>8</v>
      </c>
      <c r="E2242" s="369" t="s">
        <v>1856</v>
      </c>
      <c r="F2242" s="369" t="s">
        <v>634</v>
      </c>
      <c r="G2242" s="288"/>
      <c r="H2242" s="288"/>
      <c r="I2242" s="288"/>
      <c r="J2242" s="288"/>
      <c r="K2242" s="43">
        <f t="shared" si="732"/>
        <v>0</v>
      </c>
      <c r="L2242" s="43">
        <f t="shared" si="733"/>
        <v>0</v>
      </c>
      <c r="M2242" s="217">
        <f t="shared" si="712"/>
        <v>0</v>
      </c>
      <c r="N2242" s="180"/>
      <c r="R2242" s="288">
        <v>0</v>
      </c>
      <c r="S2242" s="288">
        <v>0</v>
      </c>
      <c r="T2242" s="217"/>
      <c r="U2242" s="288">
        <v>0</v>
      </c>
      <c r="V2242" s="288">
        <v>0</v>
      </c>
      <c r="W2242" s="203"/>
      <c r="X2242" s="203"/>
    </row>
    <row r="2243" spans="1:24" ht="15" x14ac:dyDescent="0.2">
      <c r="A2243" s="739" t="s">
        <v>1140</v>
      </c>
      <c r="B2243" s="243" t="s">
        <v>970</v>
      </c>
      <c r="C2243" s="353" t="s">
        <v>8</v>
      </c>
      <c r="D2243" s="353" t="s">
        <v>8</v>
      </c>
      <c r="E2243" s="386" t="s">
        <v>1892</v>
      </c>
      <c r="F2243" s="369">
        <v>350</v>
      </c>
      <c r="G2243" s="288">
        <f>100+2</f>
        <v>102</v>
      </c>
      <c r="H2243" s="288"/>
      <c r="I2243" s="288">
        <f>100+2</f>
        <v>102</v>
      </c>
      <c r="J2243" s="288"/>
      <c r="K2243" s="43">
        <f t="shared" si="732"/>
        <v>0</v>
      </c>
      <c r="L2243" s="43">
        <f t="shared" si="733"/>
        <v>0</v>
      </c>
      <c r="M2243" s="217">
        <f>I2243-G2243-K2243</f>
        <v>0</v>
      </c>
      <c r="N2243" s="180"/>
      <c r="R2243" s="288">
        <f>100+2</f>
        <v>102</v>
      </c>
      <c r="S2243" s="288">
        <v>0</v>
      </c>
      <c r="T2243" s="217"/>
      <c r="U2243" s="288">
        <v>102.04082</v>
      </c>
      <c r="V2243" s="288">
        <v>0</v>
      </c>
      <c r="W2243" s="203"/>
      <c r="X2243" s="203"/>
    </row>
    <row r="2244" spans="1:24" ht="25.5" hidden="1" x14ac:dyDescent="0.2">
      <c r="A2244" s="121" t="s">
        <v>1536</v>
      </c>
      <c r="B2244" s="388" t="s">
        <v>970</v>
      </c>
      <c r="C2244" s="389" t="s">
        <v>8</v>
      </c>
      <c r="D2244" s="389" t="s">
        <v>8</v>
      </c>
      <c r="E2244" s="515" t="s">
        <v>1505</v>
      </c>
      <c r="F2244" s="390"/>
      <c r="G2244" s="391">
        <f t="shared" ref="G2244:J2246" si="736">G2245</f>
        <v>0</v>
      </c>
      <c r="H2244" s="391">
        <f t="shared" si="736"/>
        <v>0</v>
      </c>
      <c r="I2244" s="391">
        <f t="shared" si="736"/>
        <v>0</v>
      </c>
      <c r="J2244" s="391">
        <f t="shared" si="736"/>
        <v>0</v>
      </c>
      <c r="K2244" s="391">
        <f t="shared" si="732"/>
        <v>0</v>
      </c>
      <c r="L2244" s="391">
        <f t="shared" si="733"/>
        <v>0</v>
      </c>
      <c r="M2244" s="217"/>
      <c r="N2244" s="180"/>
      <c r="R2244" s="288"/>
      <c r="S2244" s="288"/>
      <c r="T2244" s="217"/>
      <c r="U2244" s="288"/>
      <c r="V2244" s="288"/>
      <c r="W2244" s="203"/>
      <c r="X2244" s="203"/>
    </row>
    <row r="2245" spans="1:24" ht="15" hidden="1" x14ac:dyDescent="0.2">
      <c r="A2245" s="121" t="s">
        <v>1541</v>
      </c>
      <c r="B2245" s="388" t="s">
        <v>970</v>
      </c>
      <c r="C2245" s="389" t="s">
        <v>8</v>
      </c>
      <c r="D2245" s="389" t="s">
        <v>8</v>
      </c>
      <c r="E2245" s="515" t="s">
        <v>1508</v>
      </c>
      <c r="F2245" s="390"/>
      <c r="G2245" s="391">
        <f t="shared" si="736"/>
        <v>0</v>
      </c>
      <c r="H2245" s="391">
        <f t="shared" si="736"/>
        <v>0</v>
      </c>
      <c r="I2245" s="391">
        <f t="shared" si="736"/>
        <v>0</v>
      </c>
      <c r="J2245" s="391">
        <f t="shared" si="736"/>
        <v>0</v>
      </c>
      <c r="K2245" s="391">
        <f t="shared" si="732"/>
        <v>0</v>
      </c>
      <c r="L2245" s="391">
        <f t="shared" si="733"/>
        <v>0</v>
      </c>
      <c r="M2245" s="217"/>
      <c r="N2245" s="180"/>
      <c r="R2245" s="288"/>
      <c r="S2245" s="288"/>
      <c r="T2245" s="217"/>
      <c r="U2245" s="288"/>
      <c r="V2245" s="288"/>
      <c r="W2245" s="203"/>
      <c r="X2245" s="203"/>
    </row>
    <row r="2246" spans="1:24" ht="15" hidden="1" x14ac:dyDescent="0.2">
      <c r="A2246" s="121" t="s">
        <v>1538</v>
      </c>
      <c r="B2246" s="388" t="s">
        <v>970</v>
      </c>
      <c r="C2246" s="389" t="s">
        <v>8</v>
      </c>
      <c r="D2246" s="389" t="s">
        <v>8</v>
      </c>
      <c r="E2246" s="515" t="s">
        <v>1509</v>
      </c>
      <c r="F2246" s="390"/>
      <c r="G2246" s="391">
        <f t="shared" si="736"/>
        <v>0</v>
      </c>
      <c r="H2246" s="391">
        <f t="shared" si="736"/>
        <v>0</v>
      </c>
      <c r="I2246" s="391">
        <f t="shared" si="736"/>
        <v>0</v>
      </c>
      <c r="J2246" s="391">
        <f t="shared" si="736"/>
        <v>0</v>
      </c>
      <c r="K2246" s="391">
        <f t="shared" si="732"/>
        <v>0</v>
      </c>
      <c r="L2246" s="391">
        <f t="shared" si="733"/>
        <v>0</v>
      </c>
      <c r="M2246" s="217"/>
      <c r="N2246" s="180"/>
      <c r="R2246" s="288"/>
      <c r="S2246" s="288"/>
      <c r="T2246" s="217"/>
      <c r="U2246" s="288"/>
      <c r="V2246" s="288"/>
      <c r="W2246" s="203"/>
      <c r="X2246" s="203"/>
    </row>
    <row r="2247" spans="1:24" ht="15" hidden="1" x14ac:dyDescent="0.2">
      <c r="A2247" s="124" t="s">
        <v>1554</v>
      </c>
      <c r="B2247" s="243" t="s">
        <v>970</v>
      </c>
      <c r="C2247" s="353" t="s">
        <v>8</v>
      </c>
      <c r="D2247" s="353" t="s">
        <v>8</v>
      </c>
      <c r="E2247" s="369" t="s">
        <v>1509</v>
      </c>
      <c r="F2247" s="369">
        <v>350</v>
      </c>
      <c r="G2247" s="288"/>
      <c r="H2247" s="288"/>
      <c r="I2247" s="288"/>
      <c r="J2247" s="288"/>
      <c r="K2247" s="43">
        <f t="shared" si="732"/>
        <v>0</v>
      </c>
      <c r="L2247" s="43">
        <f t="shared" si="733"/>
        <v>0</v>
      </c>
      <c r="M2247" s="217"/>
      <c r="N2247" s="180"/>
      <c r="R2247" s="288"/>
      <c r="S2247" s="288"/>
      <c r="T2247" s="217"/>
      <c r="U2247" s="288"/>
      <c r="V2247" s="288"/>
      <c r="W2247" s="203"/>
      <c r="X2247" s="203"/>
    </row>
    <row r="2248" spans="1:24" ht="25.5" x14ac:dyDescent="0.2">
      <c r="A2248" s="746" t="s">
        <v>732</v>
      </c>
      <c r="B2248" s="306" t="s">
        <v>970</v>
      </c>
      <c r="C2248" s="354" t="s">
        <v>8</v>
      </c>
      <c r="D2248" s="354" t="s">
        <v>8</v>
      </c>
      <c r="E2248" s="450" t="s">
        <v>729</v>
      </c>
      <c r="F2248" s="450"/>
      <c r="G2248" s="591">
        <f>G2258+G2249+G2252+G2255</f>
        <v>14</v>
      </c>
      <c r="H2248" s="591">
        <f t="shared" ref="H2248:L2248" si="737">H2258+H2249+H2252+H2255</f>
        <v>0</v>
      </c>
      <c r="I2248" s="591">
        <f t="shared" si="737"/>
        <v>24</v>
      </c>
      <c r="J2248" s="591">
        <f t="shared" si="737"/>
        <v>0</v>
      </c>
      <c r="K2248" s="591">
        <f t="shared" si="737"/>
        <v>10</v>
      </c>
      <c r="L2248" s="591">
        <f t="shared" si="737"/>
        <v>0</v>
      </c>
      <c r="M2248" s="217">
        <f t="shared" si="712"/>
        <v>0</v>
      </c>
      <c r="N2248" s="180"/>
      <c r="R2248" s="591">
        <f>R2258</f>
        <v>0</v>
      </c>
      <c r="S2248" s="591">
        <f>S2258</f>
        <v>0</v>
      </c>
      <c r="T2248" s="217"/>
      <c r="U2248" s="498">
        <f>U2258</f>
        <v>0</v>
      </c>
      <c r="V2248" s="498">
        <f>V2258</f>
        <v>0</v>
      </c>
      <c r="W2248" s="203">
        <f t="shared" si="726"/>
        <v>-10</v>
      </c>
      <c r="X2248" s="203">
        <f t="shared" si="727"/>
        <v>0</v>
      </c>
    </row>
    <row r="2249" spans="1:24" ht="15" x14ac:dyDescent="0.2">
      <c r="A2249" s="746" t="s">
        <v>1835</v>
      </c>
      <c r="B2249" s="306" t="s">
        <v>970</v>
      </c>
      <c r="C2249" s="354" t="s">
        <v>8</v>
      </c>
      <c r="D2249" s="354" t="s">
        <v>8</v>
      </c>
      <c r="E2249" s="650">
        <v>8200200000</v>
      </c>
      <c r="F2249" s="650"/>
      <c r="G2249" s="591">
        <f t="shared" ref="G2249:J2250" si="738">G2250</f>
        <v>5</v>
      </c>
      <c r="H2249" s="591">
        <f t="shared" si="738"/>
        <v>0</v>
      </c>
      <c r="I2249" s="591">
        <f t="shared" si="738"/>
        <v>5</v>
      </c>
      <c r="J2249" s="591">
        <f t="shared" si="738"/>
        <v>0</v>
      </c>
      <c r="K2249" s="591">
        <f t="shared" si="732"/>
        <v>0</v>
      </c>
      <c r="L2249" s="591">
        <f t="shared" si="733"/>
        <v>0</v>
      </c>
      <c r="M2249" s="217"/>
      <c r="N2249" s="180"/>
      <c r="R2249" s="591"/>
      <c r="S2249" s="591"/>
      <c r="T2249" s="217"/>
      <c r="U2249" s="591"/>
      <c r="V2249" s="591"/>
      <c r="W2249" s="203"/>
      <c r="X2249" s="203"/>
    </row>
    <row r="2250" spans="1:24" ht="15" x14ac:dyDescent="0.2">
      <c r="A2250" s="746" t="s">
        <v>1607</v>
      </c>
      <c r="B2250" s="306" t="s">
        <v>970</v>
      </c>
      <c r="C2250" s="354" t="s">
        <v>8</v>
      </c>
      <c r="D2250" s="354" t="s">
        <v>8</v>
      </c>
      <c r="E2250" s="650">
        <v>8200282460</v>
      </c>
      <c r="F2250" s="650"/>
      <c r="G2250" s="591">
        <f t="shared" si="738"/>
        <v>5</v>
      </c>
      <c r="H2250" s="591">
        <f t="shared" si="738"/>
        <v>0</v>
      </c>
      <c r="I2250" s="591">
        <f t="shared" si="738"/>
        <v>5</v>
      </c>
      <c r="J2250" s="591">
        <f t="shared" si="738"/>
        <v>0</v>
      </c>
      <c r="K2250" s="591">
        <f t="shared" si="732"/>
        <v>0</v>
      </c>
      <c r="L2250" s="591">
        <f t="shared" si="733"/>
        <v>0</v>
      </c>
      <c r="M2250" s="217"/>
      <c r="N2250" s="180"/>
      <c r="R2250" s="591"/>
      <c r="S2250" s="591"/>
      <c r="T2250" s="217"/>
      <c r="U2250" s="591"/>
      <c r="V2250" s="591"/>
      <c r="W2250" s="203"/>
      <c r="X2250" s="203"/>
    </row>
    <row r="2251" spans="1:24" ht="15" x14ac:dyDescent="0.2">
      <c r="A2251" s="739" t="s">
        <v>1558</v>
      </c>
      <c r="B2251" s="243" t="s">
        <v>970</v>
      </c>
      <c r="C2251" s="353" t="s">
        <v>8</v>
      </c>
      <c r="D2251" s="353" t="s">
        <v>8</v>
      </c>
      <c r="E2251" s="369">
        <v>8200282460</v>
      </c>
      <c r="F2251" s="369">
        <v>244</v>
      </c>
      <c r="G2251" s="288">
        <v>5</v>
      </c>
      <c r="H2251" s="288"/>
      <c r="I2251" s="288">
        <v>5</v>
      </c>
      <c r="J2251" s="288"/>
      <c r="K2251" s="43">
        <f t="shared" si="732"/>
        <v>0</v>
      </c>
      <c r="L2251" s="43">
        <f t="shared" si="733"/>
        <v>0</v>
      </c>
      <c r="M2251" s="217"/>
      <c r="N2251" s="180"/>
      <c r="R2251" s="591"/>
      <c r="S2251" s="591"/>
      <c r="T2251" s="217"/>
      <c r="U2251" s="591"/>
      <c r="V2251" s="591"/>
      <c r="W2251" s="203"/>
      <c r="X2251" s="203"/>
    </row>
    <row r="2252" spans="1:24" ht="25.5" x14ac:dyDescent="0.2">
      <c r="A2252" s="742" t="s">
        <v>1836</v>
      </c>
      <c r="B2252" s="388" t="s">
        <v>970</v>
      </c>
      <c r="C2252" s="389" t="s">
        <v>8</v>
      </c>
      <c r="D2252" s="389" t="s">
        <v>8</v>
      </c>
      <c r="E2252" s="390">
        <v>8200500000</v>
      </c>
      <c r="F2252" s="390"/>
      <c r="G2252" s="391">
        <f t="shared" ref="G2252:J2253" si="739">G2253</f>
        <v>5</v>
      </c>
      <c r="H2252" s="391">
        <f t="shared" si="739"/>
        <v>0</v>
      </c>
      <c r="I2252" s="391">
        <f t="shared" si="739"/>
        <v>5</v>
      </c>
      <c r="J2252" s="391">
        <f t="shared" si="739"/>
        <v>0</v>
      </c>
      <c r="K2252" s="391">
        <f t="shared" si="732"/>
        <v>0</v>
      </c>
      <c r="L2252" s="391">
        <f t="shared" si="733"/>
        <v>0</v>
      </c>
      <c r="M2252" s="217"/>
      <c r="N2252" s="180"/>
      <c r="R2252" s="591"/>
      <c r="S2252" s="591"/>
      <c r="T2252" s="217"/>
      <c r="U2252" s="591"/>
      <c r="V2252" s="591"/>
      <c r="W2252" s="203"/>
      <c r="X2252" s="203"/>
    </row>
    <row r="2253" spans="1:24" ht="15" x14ac:dyDescent="0.2">
      <c r="A2253" s="742" t="s">
        <v>1607</v>
      </c>
      <c r="B2253" s="388" t="s">
        <v>970</v>
      </c>
      <c r="C2253" s="389" t="s">
        <v>8</v>
      </c>
      <c r="D2253" s="389" t="s">
        <v>8</v>
      </c>
      <c r="E2253" s="390">
        <v>8200582460</v>
      </c>
      <c r="F2253" s="390"/>
      <c r="G2253" s="391">
        <f t="shared" si="739"/>
        <v>5</v>
      </c>
      <c r="H2253" s="391">
        <f t="shared" si="739"/>
        <v>0</v>
      </c>
      <c r="I2253" s="391">
        <f t="shared" si="739"/>
        <v>5</v>
      </c>
      <c r="J2253" s="391">
        <f t="shared" si="739"/>
        <v>0</v>
      </c>
      <c r="K2253" s="391">
        <f t="shared" si="732"/>
        <v>0</v>
      </c>
      <c r="L2253" s="391">
        <f t="shared" si="733"/>
        <v>0</v>
      </c>
      <c r="M2253" s="217"/>
      <c r="N2253" s="180"/>
      <c r="R2253" s="591"/>
      <c r="S2253" s="591"/>
      <c r="T2253" s="217"/>
      <c r="U2253" s="591"/>
      <c r="V2253" s="591"/>
      <c r="W2253" s="203"/>
      <c r="X2253" s="203"/>
    </row>
    <row r="2254" spans="1:24" ht="15" x14ac:dyDescent="0.2">
      <c r="A2254" s="739" t="s">
        <v>1558</v>
      </c>
      <c r="B2254" s="243" t="s">
        <v>970</v>
      </c>
      <c r="C2254" s="353" t="s">
        <v>8</v>
      </c>
      <c r="D2254" s="353" t="s">
        <v>8</v>
      </c>
      <c r="E2254" s="369">
        <v>8200582460</v>
      </c>
      <c r="F2254" s="369">
        <v>244</v>
      </c>
      <c r="G2254" s="288">
        <v>5</v>
      </c>
      <c r="H2254" s="288"/>
      <c r="I2254" s="288">
        <v>5</v>
      </c>
      <c r="J2254" s="288"/>
      <c r="K2254" s="43">
        <f t="shared" si="732"/>
        <v>0</v>
      </c>
      <c r="L2254" s="43">
        <f t="shared" si="733"/>
        <v>0</v>
      </c>
      <c r="M2254" s="217"/>
      <c r="N2254" s="180"/>
      <c r="R2254" s="591"/>
      <c r="S2254" s="591"/>
      <c r="T2254" s="217"/>
      <c r="U2254" s="591"/>
      <c r="V2254" s="591"/>
      <c r="W2254" s="203"/>
      <c r="X2254" s="203"/>
    </row>
    <row r="2255" spans="1:24" ht="15" x14ac:dyDescent="0.2">
      <c r="A2255" s="746" t="s">
        <v>2038</v>
      </c>
      <c r="B2255" s="306" t="s">
        <v>970</v>
      </c>
      <c r="C2255" s="354" t="s">
        <v>8</v>
      </c>
      <c r="D2255" s="354" t="s">
        <v>8</v>
      </c>
      <c r="E2255" s="697">
        <v>8200600000</v>
      </c>
      <c r="F2255" s="697"/>
      <c r="G2255" s="591">
        <f t="shared" ref="G2255:J2256" si="740">G2256</f>
        <v>0</v>
      </c>
      <c r="H2255" s="591">
        <f t="shared" si="740"/>
        <v>0</v>
      </c>
      <c r="I2255" s="591">
        <f t="shared" si="740"/>
        <v>10</v>
      </c>
      <c r="J2255" s="591">
        <f t="shared" si="740"/>
        <v>0</v>
      </c>
      <c r="K2255" s="591">
        <f t="shared" ref="K2255:K2257" si="741">I2255-G2255</f>
        <v>10</v>
      </c>
      <c r="L2255" s="591">
        <f t="shared" ref="L2255:L2257" si="742">J2255-H2255</f>
        <v>0</v>
      </c>
      <c r="M2255" s="217"/>
      <c r="N2255" s="180"/>
      <c r="R2255" s="591"/>
      <c r="S2255" s="591"/>
      <c r="T2255" s="217"/>
      <c r="U2255" s="591"/>
      <c r="V2255" s="591"/>
      <c r="W2255" s="203"/>
      <c r="X2255" s="203"/>
    </row>
    <row r="2256" spans="1:24" ht="15" x14ac:dyDescent="0.2">
      <c r="A2256" s="742" t="s">
        <v>1607</v>
      </c>
      <c r="B2256" s="306" t="s">
        <v>970</v>
      </c>
      <c r="C2256" s="354" t="s">
        <v>8</v>
      </c>
      <c r="D2256" s="354" t="s">
        <v>8</v>
      </c>
      <c r="E2256" s="697">
        <v>8200682460</v>
      </c>
      <c r="F2256" s="697"/>
      <c r="G2256" s="591">
        <f t="shared" si="740"/>
        <v>0</v>
      </c>
      <c r="H2256" s="591">
        <f t="shared" si="740"/>
        <v>0</v>
      </c>
      <c r="I2256" s="591">
        <f t="shared" si="740"/>
        <v>10</v>
      </c>
      <c r="J2256" s="591">
        <f t="shared" si="740"/>
        <v>0</v>
      </c>
      <c r="K2256" s="591">
        <f t="shared" si="741"/>
        <v>10</v>
      </c>
      <c r="L2256" s="591">
        <f t="shared" si="742"/>
        <v>0</v>
      </c>
      <c r="M2256" s="217"/>
      <c r="N2256" s="180"/>
      <c r="R2256" s="591"/>
      <c r="S2256" s="591"/>
      <c r="T2256" s="217"/>
      <c r="U2256" s="591"/>
      <c r="V2256" s="591"/>
      <c r="W2256" s="203"/>
      <c r="X2256" s="203"/>
    </row>
    <row r="2257" spans="1:24" ht="15" x14ac:dyDescent="0.2">
      <c r="A2257" s="739" t="s">
        <v>1558</v>
      </c>
      <c r="B2257" s="243" t="s">
        <v>970</v>
      </c>
      <c r="C2257" s="353" t="s">
        <v>8</v>
      </c>
      <c r="D2257" s="353" t="s">
        <v>8</v>
      </c>
      <c r="E2257" s="369">
        <v>8200682460</v>
      </c>
      <c r="F2257" s="369" t="s">
        <v>634</v>
      </c>
      <c r="G2257" s="288"/>
      <c r="H2257" s="288">
        <v>0</v>
      </c>
      <c r="I2257" s="288">
        <v>10</v>
      </c>
      <c r="J2257" s="288">
        <v>0</v>
      </c>
      <c r="K2257" s="43">
        <f t="shared" si="741"/>
        <v>10</v>
      </c>
      <c r="L2257" s="43">
        <f t="shared" si="742"/>
        <v>0</v>
      </c>
      <c r="M2257" s="217"/>
      <c r="N2257" s="180"/>
      <c r="R2257" s="591"/>
      <c r="S2257" s="591"/>
      <c r="T2257" s="217"/>
      <c r="U2257" s="591"/>
      <c r="V2257" s="591"/>
      <c r="W2257" s="203"/>
      <c r="X2257" s="203"/>
    </row>
    <row r="2258" spans="1:24" ht="15" x14ac:dyDescent="0.2">
      <c r="A2258" s="746" t="s">
        <v>733</v>
      </c>
      <c r="B2258" s="306" t="s">
        <v>970</v>
      </c>
      <c r="C2258" s="354" t="s">
        <v>8</v>
      </c>
      <c r="D2258" s="354" t="s">
        <v>8</v>
      </c>
      <c r="E2258" s="450" t="s">
        <v>730</v>
      </c>
      <c r="F2258" s="450"/>
      <c r="G2258" s="591">
        <f t="shared" ref="G2258:J2259" si="743">G2259</f>
        <v>4</v>
      </c>
      <c r="H2258" s="591">
        <f t="shared" si="743"/>
        <v>0</v>
      </c>
      <c r="I2258" s="591">
        <f t="shared" si="743"/>
        <v>4</v>
      </c>
      <c r="J2258" s="591">
        <f t="shared" si="743"/>
        <v>0</v>
      </c>
      <c r="K2258" s="591">
        <f t="shared" si="732"/>
        <v>0</v>
      </c>
      <c r="L2258" s="591">
        <f t="shared" si="733"/>
        <v>0</v>
      </c>
      <c r="M2258" s="217">
        <f t="shared" ref="M2258:M2351" si="744">I2258-G2258-K2258</f>
        <v>0</v>
      </c>
      <c r="N2258" s="180"/>
      <c r="R2258" s="591">
        <f>R2259</f>
        <v>0</v>
      </c>
      <c r="S2258" s="591">
        <f>S2259</f>
        <v>0</v>
      </c>
      <c r="T2258" s="217"/>
      <c r="U2258" s="498">
        <f>U2259</f>
        <v>0</v>
      </c>
      <c r="V2258" s="498">
        <f>V2259</f>
        <v>0</v>
      </c>
      <c r="W2258" s="203">
        <f t="shared" si="726"/>
        <v>0</v>
      </c>
      <c r="X2258" s="203">
        <f t="shared" si="727"/>
        <v>0</v>
      </c>
    </row>
    <row r="2259" spans="1:24" ht="15" x14ac:dyDescent="0.2">
      <c r="A2259" s="742" t="s">
        <v>1607</v>
      </c>
      <c r="B2259" s="306" t="s">
        <v>970</v>
      </c>
      <c r="C2259" s="354" t="s">
        <v>8</v>
      </c>
      <c r="D2259" s="354" t="s">
        <v>8</v>
      </c>
      <c r="E2259" s="450">
        <v>8200782460</v>
      </c>
      <c r="F2259" s="450"/>
      <c r="G2259" s="591">
        <f t="shared" si="743"/>
        <v>4</v>
      </c>
      <c r="H2259" s="591">
        <f t="shared" si="743"/>
        <v>0</v>
      </c>
      <c r="I2259" s="591">
        <f t="shared" si="743"/>
        <v>4</v>
      </c>
      <c r="J2259" s="591">
        <f t="shared" si="743"/>
        <v>0</v>
      </c>
      <c r="K2259" s="591">
        <f t="shared" si="732"/>
        <v>0</v>
      </c>
      <c r="L2259" s="591">
        <f t="shared" si="733"/>
        <v>0</v>
      </c>
      <c r="M2259" s="217">
        <f t="shared" si="744"/>
        <v>0</v>
      </c>
      <c r="N2259" s="180"/>
      <c r="R2259" s="591">
        <f>R2260</f>
        <v>0</v>
      </c>
      <c r="S2259" s="591">
        <f>S2260</f>
        <v>0</v>
      </c>
      <c r="T2259" s="217"/>
      <c r="U2259" s="498">
        <f>U2260</f>
        <v>0</v>
      </c>
      <c r="V2259" s="498">
        <f>V2260</f>
        <v>0</v>
      </c>
      <c r="W2259" s="203">
        <f t="shared" si="726"/>
        <v>0</v>
      </c>
      <c r="X2259" s="203">
        <f t="shared" si="727"/>
        <v>0</v>
      </c>
    </row>
    <row r="2260" spans="1:24" ht="15" x14ac:dyDescent="0.2">
      <c r="A2260" s="739" t="s">
        <v>834</v>
      </c>
      <c r="B2260" s="243" t="s">
        <v>970</v>
      </c>
      <c r="C2260" s="353" t="s">
        <v>8</v>
      </c>
      <c r="D2260" s="353" t="s">
        <v>8</v>
      </c>
      <c r="E2260" s="369">
        <v>8200782460</v>
      </c>
      <c r="F2260" s="369" t="s">
        <v>634</v>
      </c>
      <c r="G2260" s="288">
        <v>4</v>
      </c>
      <c r="H2260" s="288">
        <v>0</v>
      </c>
      <c r="I2260" s="288">
        <v>4</v>
      </c>
      <c r="J2260" s="288">
        <v>0</v>
      </c>
      <c r="K2260" s="43">
        <f t="shared" si="732"/>
        <v>0</v>
      </c>
      <c r="L2260" s="43">
        <f t="shared" si="733"/>
        <v>0</v>
      </c>
      <c r="M2260" s="217">
        <f t="shared" si="744"/>
        <v>0</v>
      </c>
      <c r="N2260" s="180"/>
      <c r="R2260" s="288">
        <v>0</v>
      </c>
      <c r="S2260" s="288">
        <v>0</v>
      </c>
      <c r="T2260" s="217"/>
      <c r="U2260" s="288">
        <v>0</v>
      </c>
      <c r="V2260" s="288">
        <v>0</v>
      </c>
      <c r="W2260" s="203">
        <f t="shared" si="726"/>
        <v>0</v>
      </c>
      <c r="X2260" s="203">
        <f t="shared" si="727"/>
        <v>0</v>
      </c>
    </row>
    <row r="2261" spans="1:24" ht="15" x14ac:dyDescent="0.2">
      <c r="A2261" s="741" t="s">
        <v>65</v>
      </c>
      <c r="B2261" s="388" t="s">
        <v>970</v>
      </c>
      <c r="C2261" s="389" t="s">
        <v>8</v>
      </c>
      <c r="D2261" s="389" t="s">
        <v>8</v>
      </c>
      <c r="E2261" s="390">
        <v>9990000000</v>
      </c>
      <c r="F2261" s="390"/>
      <c r="G2261" s="391">
        <f>G2262</f>
        <v>700</v>
      </c>
      <c r="H2261" s="391">
        <f t="shared" ref="H2261:K2262" si="745">H2262</f>
        <v>0</v>
      </c>
      <c r="I2261" s="391">
        <f t="shared" si="745"/>
        <v>700</v>
      </c>
      <c r="J2261" s="391">
        <f t="shared" si="745"/>
        <v>0</v>
      </c>
      <c r="K2261" s="391">
        <f t="shared" si="745"/>
        <v>0</v>
      </c>
      <c r="L2261" s="391">
        <f>L2262</f>
        <v>0</v>
      </c>
      <c r="M2261" s="217"/>
      <c r="N2261" s="180"/>
      <c r="R2261" s="288"/>
      <c r="S2261" s="288"/>
      <c r="T2261" s="217"/>
      <c r="U2261" s="288"/>
      <c r="V2261" s="288"/>
      <c r="W2261" s="203"/>
      <c r="X2261" s="203"/>
    </row>
    <row r="2262" spans="1:24" ht="15" x14ac:dyDescent="0.2">
      <c r="A2262" s="741" t="s">
        <v>1969</v>
      </c>
      <c r="B2262" s="388" t="s">
        <v>970</v>
      </c>
      <c r="C2262" s="389" t="s">
        <v>8</v>
      </c>
      <c r="D2262" s="389" t="s">
        <v>8</v>
      </c>
      <c r="E2262" s="390">
        <v>9990082250</v>
      </c>
      <c r="F2262" s="390"/>
      <c r="G2262" s="391">
        <f>G2263</f>
        <v>700</v>
      </c>
      <c r="H2262" s="391">
        <f t="shared" si="745"/>
        <v>0</v>
      </c>
      <c r="I2262" s="391">
        <f t="shared" si="745"/>
        <v>700</v>
      </c>
      <c r="J2262" s="391">
        <f t="shared" si="745"/>
        <v>0</v>
      </c>
      <c r="K2262" s="391">
        <f t="shared" si="745"/>
        <v>0</v>
      </c>
      <c r="L2262" s="391">
        <f>L2263</f>
        <v>0</v>
      </c>
      <c r="M2262" s="217"/>
      <c r="N2262" s="180"/>
      <c r="R2262" s="288"/>
      <c r="S2262" s="288"/>
      <c r="T2262" s="217"/>
      <c r="U2262" s="288"/>
      <c r="V2262" s="288"/>
      <c r="W2262" s="203"/>
      <c r="X2262" s="203"/>
    </row>
    <row r="2263" spans="1:24" ht="15" x14ac:dyDescent="0.2">
      <c r="A2263" s="744" t="s">
        <v>834</v>
      </c>
      <c r="B2263" s="243" t="s">
        <v>970</v>
      </c>
      <c r="C2263" s="353" t="s">
        <v>8</v>
      </c>
      <c r="D2263" s="353" t="s">
        <v>8</v>
      </c>
      <c r="E2263" s="369">
        <v>9990082250</v>
      </c>
      <c r="F2263" s="369">
        <v>244</v>
      </c>
      <c r="G2263" s="288">
        <v>700</v>
      </c>
      <c r="H2263" s="288"/>
      <c r="I2263" s="288">
        <v>700</v>
      </c>
      <c r="J2263" s="288"/>
      <c r="K2263" s="43">
        <f>I2263-G2263</f>
        <v>0</v>
      </c>
      <c r="L2263" s="43">
        <f>J2263-H2263</f>
        <v>0</v>
      </c>
      <c r="M2263" s="217"/>
      <c r="N2263" s="180"/>
      <c r="R2263" s="288"/>
      <c r="S2263" s="288"/>
      <c r="T2263" s="217"/>
      <c r="U2263" s="288"/>
      <c r="V2263" s="288"/>
      <c r="W2263" s="203"/>
      <c r="X2263" s="203"/>
    </row>
    <row r="2264" spans="1:24" ht="15" x14ac:dyDescent="0.2">
      <c r="A2264" s="746" t="s">
        <v>121</v>
      </c>
      <c r="B2264" s="306" t="s">
        <v>970</v>
      </c>
      <c r="C2264" s="354" t="s">
        <v>27</v>
      </c>
      <c r="D2264" s="354"/>
      <c r="E2264" s="450"/>
      <c r="F2264" s="450"/>
      <c r="G2264" s="591">
        <f>G2265+G2282</f>
        <v>1463.7750000000001</v>
      </c>
      <c r="H2264" s="591">
        <f>H2265+H2282</f>
        <v>592.6</v>
      </c>
      <c r="I2264" s="591">
        <f>I2265+I2282</f>
        <v>1543.7750000000001</v>
      </c>
      <c r="J2264" s="591">
        <f>J2265+J2282</f>
        <v>592.6</v>
      </c>
      <c r="K2264" s="591">
        <f t="shared" si="732"/>
        <v>80</v>
      </c>
      <c r="L2264" s="591">
        <f t="shared" si="733"/>
        <v>0</v>
      </c>
      <c r="M2264" s="217">
        <f t="shared" si="744"/>
        <v>0</v>
      </c>
      <c r="N2264" s="180"/>
      <c r="R2264" s="591">
        <f>R2265+R2282</f>
        <v>1837.175</v>
      </c>
      <c r="S2264" s="591">
        <f>S2265+S2282</f>
        <v>776.94028000000014</v>
      </c>
      <c r="T2264" s="217"/>
      <c r="U2264" s="498">
        <f>U2265</f>
        <v>1724.9864600000001</v>
      </c>
      <c r="V2264" s="498">
        <f>V2265</f>
        <v>1014.21336</v>
      </c>
      <c r="W2264" s="203">
        <f t="shared" si="726"/>
        <v>-80</v>
      </c>
      <c r="X2264" s="203">
        <f t="shared" si="727"/>
        <v>0</v>
      </c>
    </row>
    <row r="2265" spans="1:24" ht="15" x14ac:dyDescent="0.2">
      <c r="A2265" s="746" t="s">
        <v>16</v>
      </c>
      <c r="B2265" s="306" t="s">
        <v>970</v>
      </c>
      <c r="C2265" s="354" t="s">
        <v>27</v>
      </c>
      <c r="D2265" s="354" t="s">
        <v>606</v>
      </c>
      <c r="E2265" s="450"/>
      <c r="F2265" s="450"/>
      <c r="G2265" s="591">
        <f>G2266+G2279</f>
        <v>383.32499999999999</v>
      </c>
      <c r="H2265" s="591">
        <f>H2266+H2279</f>
        <v>0</v>
      </c>
      <c r="I2265" s="591">
        <f>I2266+I2279</f>
        <v>383.32499999999999</v>
      </c>
      <c r="J2265" s="591">
        <f>J2266+J2279</f>
        <v>0</v>
      </c>
      <c r="K2265" s="591">
        <f t="shared" si="732"/>
        <v>0</v>
      </c>
      <c r="L2265" s="591">
        <f t="shared" si="733"/>
        <v>0</v>
      </c>
      <c r="M2265" s="217">
        <f t="shared" si="744"/>
        <v>0</v>
      </c>
      <c r="N2265" s="180"/>
      <c r="R2265" s="591">
        <f>R2266+R2279</f>
        <v>580.32500000000005</v>
      </c>
      <c r="S2265" s="591">
        <f>S2266+S2279</f>
        <v>0</v>
      </c>
      <c r="T2265" s="217"/>
      <c r="U2265" s="498">
        <f>U2266+U2279</f>
        <v>1724.9864600000001</v>
      </c>
      <c r="V2265" s="498">
        <f>V2266+V2279</f>
        <v>1014.21336</v>
      </c>
      <c r="W2265" s="203">
        <f t="shared" si="726"/>
        <v>0</v>
      </c>
      <c r="X2265" s="203">
        <f t="shared" si="727"/>
        <v>0</v>
      </c>
    </row>
    <row r="2266" spans="1:24" ht="15" customHeight="1" x14ac:dyDescent="0.2">
      <c r="A2266" s="746" t="s">
        <v>341</v>
      </c>
      <c r="B2266" s="306" t="s">
        <v>970</v>
      </c>
      <c r="C2266" s="354" t="s">
        <v>27</v>
      </c>
      <c r="D2266" s="354" t="s">
        <v>606</v>
      </c>
      <c r="E2266" s="450" t="s">
        <v>342</v>
      </c>
      <c r="F2266" s="450"/>
      <c r="G2266" s="591">
        <f t="shared" ref="G2266:J2267" si="746">G2267</f>
        <v>383.32499999999999</v>
      </c>
      <c r="H2266" s="591">
        <f t="shared" si="746"/>
        <v>0</v>
      </c>
      <c r="I2266" s="591">
        <f t="shared" si="746"/>
        <v>383.32499999999999</v>
      </c>
      <c r="J2266" s="591">
        <f t="shared" si="746"/>
        <v>0</v>
      </c>
      <c r="K2266" s="591">
        <f t="shared" si="732"/>
        <v>0</v>
      </c>
      <c r="L2266" s="591">
        <f t="shared" si="733"/>
        <v>0</v>
      </c>
      <c r="M2266" s="217">
        <f t="shared" si="744"/>
        <v>0</v>
      </c>
      <c r="N2266" s="180"/>
      <c r="R2266" s="591">
        <f>R2267</f>
        <v>580.32500000000005</v>
      </c>
      <c r="S2266" s="591">
        <f>S2267</f>
        <v>0</v>
      </c>
      <c r="T2266" s="217"/>
      <c r="U2266" s="498">
        <f>U2267</f>
        <v>1521.4765500000001</v>
      </c>
      <c r="V2266" s="498">
        <f>V2267</f>
        <v>1014.21336</v>
      </c>
      <c r="W2266" s="203">
        <f t="shared" si="726"/>
        <v>0</v>
      </c>
      <c r="X2266" s="203">
        <f t="shared" si="727"/>
        <v>0</v>
      </c>
    </row>
    <row r="2267" spans="1:24" ht="15" x14ac:dyDescent="0.2">
      <c r="A2267" s="746" t="s">
        <v>1317</v>
      </c>
      <c r="B2267" s="306" t="s">
        <v>970</v>
      </c>
      <c r="C2267" s="354" t="s">
        <v>27</v>
      </c>
      <c r="D2267" s="354" t="s">
        <v>606</v>
      </c>
      <c r="E2267" s="450">
        <v>7510000000</v>
      </c>
      <c r="F2267" s="450"/>
      <c r="G2267" s="591">
        <f t="shared" si="746"/>
        <v>383.32499999999999</v>
      </c>
      <c r="H2267" s="591">
        <f t="shared" si="746"/>
        <v>0</v>
      </c>
      <c r="I2267" s="591">
        <f t="shared" si="746"/>
        <v>383.32499999999999</v>
      </c>
      <c r="J2267" s="591">
        <f t="shared" si="746"/>
        <v>0</v>
      </c>
      <c r="K2267" s="591">
        <f t="shared" si="732"/>
        <v>0</v>
      </c>
      <c r="L2267" s="591">
        <f t="shared" si="733"/>
        <v>0</v>
      </c>
      <c r="M2267" s="217">
        <f t="shared" si="744"/>
        <v>0</v>
      </c>
      <c r="N2267" s="180"/>
      <c r="R2267" s="591">
        <f>R2268</f>
        <v>580.32500000000005</v>
      </c>
      <c r="S2267" s="591">
        <f>S2268</f>
        <v>0</v>
      </c>
      <c r="T2267" s="217"/>
      <c r="U2267" s="498">
        <f>U2268</f>
        <v>1521.4765500000001</v>
      </c>
      <c r="V2267" s="498">
        <f>V2268</f>
        <v>1014.21336</v>
      </c>
      <c r="W2267" s="203">
        <f t="shared" si="726"/>
        <v>0</v>
      </c>
      <c r="X2267" s="203">
        <f t="shared" si="727"/>
        <v>0</v>
      </c>
    </row>
    <row r="2268" spans="1:24" ht="15" x14ac:dyDescent="0.2">
      <c r="A2268" s="746" t="s">
        <v>1714</v>
      </c>
      <c r="B2268" s="306" t="s">
        <v>970</v>
      </c>
      <c r="C2268" s="354" t="s">
        <v>27</v>
      </c>
      <c r="D2268" s="354" t="s">
        <v>606</v>
      </c>
      <c r="E2268" s="450">
        <v>7510700000</v>
      </c>
      <c r="F2268" s="450"/>
      <c r="G2268" s="591">
        <f>G2269+G2271+G2273+G2275+G2277</f>
        <v>383.32499999999999</v>
      </c>
      <c r="H2268" s="591">
        <f>H2269+H2271+H2273+H2275+H2277</f>
        <v>0</v>
      </c>
      <c r="I2268" s="591">
        <f>I2269+I2271+I2273+I2275+I2277</f>
        <v>383.32499999999999</v>
      </c>
      <c r="J2268" s="591">
        <f>J2269+J2271+J2273+J2275+J2277</f>
        <v>0</v>
      </c>
      <c r="K2268" s="591">
        <f t="shared" si="732"/>
        <v>0</v>
      </c>
      <c r="L2268" s="591">
        <f t="shared" si="733"/>
        <v>0</v>
      </c>
      <c r="M2268" s="217">
        <f t="shared" si="744"/>
        <v>0</v>
      </c>
      <c r="N2268" s="180"/>
      <c r="R2268" s="591">
        <f>R2269+R2271+R2273+R2275+R2277</f>
        <v>580.32500000000005</v>
      </c>
      <c r="S2268" s="591">
        <f>S2269+S2271+S2273+S2275+S2277</f>
        <v>0</v>
      </c>
      <c r="T2268" s="217"/>
      <c r="U2268" s="498">
        <f>U2269+U2271+U2273+U2275+U2277</f>
        <v>1521.4765500000001</v>
      </c>
      <c r="V2268" s="498">
        <f>V2269+V2271+V2273+V2275+V2277</f>
        <v>1014.21336</v>
      </c>
      <c r="W2268" s="203">
        <f t="shared" si="726"/>
        <v>0</v>
      </c>
      <c r="X2268" s="203">
        <f t="shared" si="727"/>
        <v>0</v>
      </c>
    </row>
    <row r="2269" spans="1:24" ht="51.75" customHeight="1" x14ac:dyDescent="0.2">
      <c r="A2269" s="746" t="s">
        <v>934</v>
      </c>
      <c r="B2269" s="306" t="s">
        <v>970</v>
      </c>
      <c r="C2269" s="354" t="s">
        <v>27</v>
      </c>
      <c r="D2269" s="354" t="s">
        <v>606</v>
      </c>
      <c r="E2269" s="450">
        <v>7510773180</v>
      </c>
      <c r="F2269" s="450"/>
      <c r="G2269" s="591">
        <f>G2270</f>
        <v>383.32499999999999</v>
      </c>
      <c r="H2269" s="591">
        <f>H2270</f>
        <v>0</v>
      </c>
      <c r="I2269" s="591">
        <f>I2270</f>
        <v>383.32499999999999</v>
      </c>
      <c r="J2269" s="591">
        <f>J2270</f>
        <v>0</v>
      </c>
      <c r="K2269" s="591">
        <f t="shared" si="732"/>
        <v>0</v>
      </c>
      <c r="L2269" s="591">
        <f t="shared" si="733"/>
        <v>0</v>
      </c>
      <c r="M2269" s="217">
        <f t="shared" si="744"/>
        <v>0</v>
      </c>
      <c r="N2269" s="180"/>
      <c r="R2269" s="591">
        <f>R2270</f>
        <v>580.32500000000005</v>
      </c>
      <c r="S2269" s="591">
        <f>S2270</f>
        <v>0</v>
      </c>
      <c r="T2269" s="217"/>
      <c r="U2269" s="498">
        <f>U2270</f>
        <v>0</v>
      </c>
      <c r="V2269" s="498">
        <f>V2270</f>
        <v>0</v>
      </c>
      <c r="W2269" s="203">
        <f t="shared" si="726"/>
        <v>0</v>
      </c>
      <c r="X2269" s="203">
        <f t="shared" si="727"/>
        <v>0</v>
      </c>
    </row>
    <row r="2270" spans="1:24" ht="15" x14ac:dyDescent="0.2">
      <c r="A2270" s="744" t="s">
        <v>125</v>
      </c>
      <c r="B2270" s="243" t="s">
        <v>970</v>
      </c>
      <c r="C2270" s="353" t="s">
        <v>27</v>
      </c>
      <c r="D2270" s="353" t="s">
        <v>606</v>
      </c>
      <c r="E2270" s="369">
        <v>7510773180</v>
      </c>
      <c r="F2270" s="369">
        <v>612</v>
      </c>
      <c r="G2270" s="288">
        <v>383.32499999999999</v>
      </c>
      <c r="H2270" s="288"/>
      <c r="I2270" s="288">
        <v>383.32499999999999</v>
      </c>
      <c r="J2270" s="288"/>
      <c r="K2270" s="43">
        <f t="shared" si="732"/>
        <v>0</v>
      </c>
      <c r="L2270" s="43">
        <f t="shared" si="733"/>
        <v>0</v>
      </c>
      <c r="M2270" s="217">
        <f t="shared" si="744"/>
        <v>0</v>
      </c>
      <c r="N2270" s="180"/>
      <c r="R2270" s="288">
        <v>580.32500000000005</v>
      </c>
      <c r="S2270" s="288"/>
      <c r="T2270" s="217"/>
      <c r="U2270" s="288">
        <v>0</v>
      </c>
      <c r="V2270" s="288"/>
      <c r="W2270" s="203">
        <f t="shared" si="726"/>
        <v>0</v>
      </c>
      <c r="X2270" s="203">
        <f t="shared" si="727"/>
        <v>0</v>
      </c>
    </row>
    <row r="2271" spans="1:24" ht="15" hidden="1" x14ac:dyDescent="0.2">
      <c r="A2271" s="451" t="s">
        <v>709</v>
      </c>
      <c r="B2271" s="306" t="s">
        <v>970</v>
      </c>
      <c r="C2271" s="354" t="s">
        <v>27</v>
      </c>
      <c r="D2271" s="354" t="s">
        <v>606</v>
      </c>
      <c r="E2271" s="450" t="s">
        <v>707</v>
      </c>
      <c r="F2271" s="450"/>
      <c r="G2271" s="498">
        <f>G2272</f>
        <v>0</v>
      </c>
      <c r="H2271" s="498">
        <f>H2272</f>
        <v>0</v>
      </c>
      <c r="I2271" s="591">
        <f>I2272</f>
        <v>0</v>
      </c>
      <c r="J2271" s="591">
        <f>J2272</f>
        <v>0</v>
      </c>
      <c r="K2271" s="591">
        <f t="shared" si="732"/>
        <v>0</v>
      </c>
      <c r="L2271" s="591">
        <f t="shared" si="733"/>
        <v>0</v>
      </c>
      <c r="M2271" s="217">
        <f t="shared" si="744"/>
        <v>0</v>
      </c>
      <c r="N2271" s="180"/>
      <c r="R2271" s="591">
        <f>R2272</f>
        <v>0</v>
      </c>
      <c r="S2271" s="591">
        <f>S2272</f>
        <v>0</v>
      </c>
      <c r="T2271" s="217"/>
      <c r="U2271" s="498">
        <f>U2272</f>
        <v>0</v>
      </c>
      <c r="V2271" s="498">
        <f>V2272</f>
        <v>0</v>
      </c>
      <c r="W2271" s="203">
        <f t="shared" si="726"/>
        <v>0</v>
      </c>
      <c r="X2271" s="203">
        <f t="shared" si="727"/>
        <v>0</v>
      </c>
    </row>
    <row r="2272" spans="1:24" ht="15" hidden="1" x14ac:dyDescent="0.2">
      <c r="A2272" s="124" t="s">
        <v>575</v>
      </c>
      <c r="B2272" s="243" t="s">
        <v>970</v>
      </c>
      <c r="C2272" s="353" t="s">
        <v>27</v>
      </c>
      <c r="D2272" s="353" t="s">
        <v>606</v>
      </c>
      <c r="E2272" s="369" t="s">
        <v>707</v>
      </c>
      <c r="F2272" s="369" t="s">
        <v>576</v>
      </c>
      <c r="G2272" s="288">
        <v>0</v>
      </c>
      <c r="H2272" s="288"/>
      <c r="I2272" s="288">
        <v>0</v>
      </c>
      <c r="J2272" s="288"/>
      <c r="K2272" s="43">
        <f t="shared" si="732"/>
        <v>0</v>
      </c>
      <c r="L2272" s="43">
        <f t="shared" si="733"/>
        <v>0</v>
      </c>
      <c r="M2272" s="217">
        <f t="shared" si="744"/>
        <v>0</v>
      </c>
      <c r="N2272" s="180"/>
      <c r="R2272" s="288">
        <v>0</v>
      </c>
      <c r="S2272" s="288"/>
      <c r="T2272" s="217"/>
      <c r="U2272" s="288">
        <v>0</v>
      </c>
      <c r="V2272" s="288"/>
      <c r="W2272" s="203">
        <f t="shared" si="726"/>
        <v>0</v>
      </c>
      <c r="X2272" s="203">
        <f t="shared" si="727"/>
        <v>0</v>
      </c>
    </row>
    <row r="2273" spans="1:24" ht="15" hidden="1" x14ac:dyDescent="0.2">
      <c r="A2273" s="451" t="s">
        <v>709</v>
      </c>
      <c r="B2273" s="306" t="s">
        <v>970</v>
      </c>
      <c r="C2273" s="354" t="s">
        <v>27</v>
      </c>
      <c r="D2273" s="354" t="s">
        <v>606</v>
      </c>
      <c r="E2273" s="450" t="s">
        <v>708</v>
      </c>
      <c r="F2273" s="450"/>
      <c r="G2273" s="498">
        <f>G2274</f>
        <v>0</v>
      </c>
      <c r="H2273" s="498">
        <f>H2274</f>
        <v>0</v>
      </c>
      <c r="I2273" s="591">
        <f>I2274</f>
        <v>0</v>
      </c>
      <c r="J2273" s="591">
        <f>J2274</f>
        <v>0</v>
      </c>
      <c r="K2273" s="591">
        <f t="shared" si="732"/>
        <v>0</v>
      </c>
      <c r="L2273" s="591">
        <f t="shared" si="733"/>
        <v>0</v>
      </c>
      <c r="M2273" s="217">
        <f t="shared" si="744"/>
        <v>0</v>
      </c>
      <c r="N2273" s="180"/>
      <c r="R2273" s="591">
        <f>R2274</f>
        <v>0</v>
      </c>
      <c r="S2273" s="591">
        <f>S2274</f>
        <v>0</v>
      </c>
      <c r="T2273" s="217"/>
      <c r="U2273" s="498">
        <f>U2274</f>
        <v>0</v>
      </c>
      <c r="V2273" s="498">
        <f>V2274</f>
        <v>0</v>
      </c>
      <c r="W2273" s="203">
        <f t="shared" ref="W2273:W2325" si="747">G2273-I2273</f>
        <v>0</v>
      </c>
      <c r="X2273" s="203">
        <f t="shared" ref="X2273:X2325" si="748">K2273+W2273</f>
        <v>0</v>
      </c>
    </row>
    <row r="2274" spans="1:24" ht="15" hidden="1" x14ac:dyDescent="0.2">
      <c r="A2274" s="124" t="s">
        <v>575</v>
      </c>
      <c r="B2274" s="243" t="s">
        <v>970</v>
      </c>
      <c r="C2274" s="353" t="s">
        <v>27</v>
      </c>
      <c r="D2274" s="353" t="s">
        <v>606</v>
      </c>
      <c r="E2274" s="369" t="s">
        <v>708</v>
      </c>
      <c r="F2274" s="369" t="s">
        <v>576</v>
      </c>
      <c r="G2274" s="288">
        <v>0</v>
      </c>
      <c r="H2274" s="288"/>
      <c r="I2274" s="288">
        <v>0</v>
      </c>
      <c r="J2274" s="288"/>
      <c r="K2274" s="43">
        <f t="shared" si="732"/>
        <v>0</v>
      </c>
      <c r="L2274" s="43">
        <f t="shared" si="733"/>
        <v>0</v>
      </c>
      <c r="M2274" s="217">
        <f t="shared" si="744"/>
        <v>0</v>
      </c>
      <c r="N2274" s="180"/>
      <c r="R2274" s="288">
        <v>0</v>
      </c>
      <c r="S2274" s="288"/>
      <c r="T2274" s="217"/>
      <c r="U2274" s="288">
        <v>0</v>
      </c>
      <c r="V2274" s="288"/>
      <c r="W2274" s="203">
        <f t="shared" si="747"/>
        <v>0</v>
      </c>
      <c r="X2274" s="203">
        <f t="shared" si="748"/>
        <v>0</v>
      </c>
    </row>
    <row r="2275" spans="1:24" ht="15" hidden="1" x14ac:dyDescent="0.2">
      <c r="A2275" s="451" t="s">
        <v>709</v>
      </c>
      <c r="B2275" s="306" t="s">
        <v>970</v>
      </c>
      <c r="C2275" s="354" t="s">
        <v>27</v>
      </c>
      <c r="D2275" s="354" t="s">
        <v>606</v>
      </c>
      <c r="E2275" s="450" t="s">
        <v>707</v>
      </c>
      <c r="F2275" s="450"/>
      <c r="G2275" s="498">
        <f>G2276</f>
        <v>0</v>
      </c>
      <c r="H2275" s="498">
        <f>H2276</f>
        <v>0</v>
      </c>
      <c r="I2275" s="591">
        <f>I2276</f>
        <v>0</v>
      </c>
      <c r="J2275" s="591">
        <f>J2276</f>
        <v>0</v>
      </c>
      <c r="K2275" s="591">
        <f t="shared" si="732"/>
        <v>0</v>
      </c>
      <c r="L2275" s="591">
        <f t="shared" si="733"/>
        <v>0</v>
      </c>
      <c r="M2275" s="217">
        <f t="shared" si="744"/>
        <v>0</v>
      </c>
      <c r="N2275" s="180"/>
      <c r="R2275" s="591">
        <f>R2276</f>
        <v>0</v>
      </c>
      <c r="S2275" s="591">
        <f>S2276</f>
        <v>0</v>
      </c>
      <c r="T2275" s="217"/>
      <c r="U2275" s="498">
        <f>U2276</f>
        <v>0</v>
      </c>
      <c r="V2275" s="498">
        <f>V2276</f>
        <v>0</v>
      </c>
      <c r="W2275" s="203">
        <f t="shared" si="747"/>
        <v>0</v>
      </c>
      <c r="X2275" s="203">
        <f t="shared" si="748"/>
        <v>0</v>
      </c>
    </row>
    <row r="2276" spans="1:24" ht="15" hidden="1" x14ac:dyDescent="0.2">
      <c r="A2276" s="124" t="s">
        <v>575</v>
      </c>
      <c r="B2276" s="243" t="s">
        <v>970</v>
      </c>
      <c r="C2276" s="353" t="s">
        <v>27</v>
      </c>
      <c r="D2276" s="353" t="s">
        <v>606</v>
      </c>
      <c r="E2276" s="369" t="s">
        <v>707</v>
      </c>
      <c r="F2276" s="369" t="s">
        <v>576</v>
      </c>
      <c r="G2276" s="288">
        <v>0</v>
      </c>
      <c r="H2276" s="288"/>
      <c r="I2276" s="288">
        <v>0</v>
      </c>
      <c r="J2276" s="288"/>
      <c r="K2276" s="43">
        <f t="shared" si="732"/>
        <v>0</v>
      </c>
      <c r="L2276" s="43">
        <f t="shared" si="733"/>
        <v>0</v>
      </c>
      <c r="M2276" s="217">
        <f t="shared" si="744"/>
        <v>0</v>
      </c>
      <c r="N2276" s="180"/>
      <c r="R2276" s="288">
        <v>0</v>
      </c>
      <c r="S2276" s="288"/>
      <c r="T2276" s="217"/>
      <c r="U2276" s="288">
        <v>0</v>
      </c>
      <c r="V2276" s="288"/>
      <c r="W2276" s="203">
        <f t="shared" si="747"/>
        <v>0</v>
      </c>
      <c r="X2276" s="203">
        <f t="shared" si="748"/>
        <v>0</v>
      </c>
    </row>
    <row r="2277" spans="1:24" ht="15" hidden="1" x14ac:dyDescent="0.2">
      <c r="A2277" s="244" t="s">
        <v>854</v>
      </c>
      <c r="B2277" s="67" t="s">
        <v>970</v>
      </c>
      <c r="C2277" s="347" t="s">
        <v>27</v>
      </c>
      <c r="D2277" s="347" t="s">
        <v>606</v>
      </c>
      <c r="E2277" s="374" t="s">
        <v>853</v>
      </c>
      <c r="F2277" s="374"/>
      <c r="G2277" s="42">
        <f>G2278</f>
        <v>0</v>
      </c>
      <c r="H2277" s="42">
        <f>H2278</f>
        <v>0</v>
      </c>
      <c r="I2277" s="42">
        <f>I2278</f>
        <v>0</v>
      </c>
      <c r="J2277" s="42">
        <f>J2278</f>
        <v>0</v>
      </c>
      <c r="K2277" s="42">
        <f t="shared" si="732"/>
        <v>0</v>
      </c>
      <c r="L2277" s="42">
        <f t="shared" si="733"/>
        <v>0</v>
      </c>
      <c r="M2277" s="217">
        <f t="shared" si="744"/>
        <v>0</v>
      </c>
      <c r="N2277" s="180"/>
      <c r="R2277" s="42">
        <f>R2278</f>
        <v>0</v>
      </c>
      <c r="S2277" s="42">
        <f>S2278</f>
        <v>0</v>
      </c>
      <c r="T2277" s="217"/>
      <c r="U2277" s="42">
        <f>U2278</f>
        <v>1521.4765500000001</v>
      </c>
      <c r="V2277" s="42">
        <f>V2278</f>
        <v>1014.21336</v>
      </c>
      <c r="W2277" s="203">
        <f t="shared" si="747"/>
        <v>0</v>
      </c>
      <c r="X2277" s="203">
        <f t="shared" si="748"/>
        <v>0</v>
      </c>
    </row>
    <row r="2278" spans="1:24" ht="15" hidden="1" x14ac:dyDescent="0.2">
      <c r="A2278" s="124" t="s">
        <v>575</v>
      </c>
      <c r="B2278" s="68" t="s">
        <v>970</v>
      </c>
      <c r="C2278" s="351" t="s">
        <v>27</v>
      </c>
      <c r="D2278" s="351" t="s">
        <v>606</v>
      </c>
      <c r="E2278" s="378" t="s">
        <v>853</v>
      </c>
      <c r="F2278" s="378" t="s">
        <v>576</v>
      </c>
      <c r="G2278" s="43"/>
      <c r="H2278" s="255"/>
      <c r="I2278" s="43"/>
      <c r="J2278" s="255"/>
      <c r="K2278" s="43">
        <f t="shared" si="732"/>
        <v>0</v>
      </c>
      <c r="L2278" s="43">
        <f t="shared" si="733"/>
        <v>0</v>
      </c>
      <c r="M2278" s="217">
        <f t="shared" si="744"/>
        <v>0</v>
      </c>
      <c r="N2278" s="180"/>
      <c r="R2278" s="43"/>
      <c r="S2278" s="255"/>
      <c r="T2278" s="217"/>
      <c r="U2278" s="43">
        <v>1521.4765500000001</v>
      </c>
      <c r="V2278" s="255">
        <v>1014.21336</v>
      </c>
      <c r="W2278" s="203">
        <f t="shared" si="747"/>
        <v>0</v>
      </c>
      <c r="X2278" s="203">
        <f t="shared" si="748"/>
        <v>0</v>
      </c>
    </row>
    <row r="2279" spans="1:24" ht="15" hidden="1" x14ac:dyDescent="0.2">
      <c r="A2279" s="244" t="s">
        <v>65</v>
      </c>
      <c r="B2279" s="67" t="s">
        <v>970</v>
      </c>
      <c r="C2279" s="347" t="s">
        <v>27</v>
      </c>
      <c r="D2279" s="347" t="s">
        <v>606</v>
      </c>
      <c r="E2279" s="374" t="s">
        <v>312</v>
      </c>
      <c r="F2279" s="374"/>
      <c r="G2279" s="42">
        <f t="shared" ref="G2279:J2280" si="749">G2280</f>
        <v>0</v>
      </c>
      <c r="H2279" s="42">
        <f t="shared" si="749"/>
        <v>0</v>
      </c>
      <c r="I2279" s="42">
        <f t="shared" si="749"/>
        <v>0</v>
      </c>
      <c r="J2279" s="42">
        <f t="shared" si="749"/>
        <v>0</v>
      </c>
      <c r="K2279" s="42">
        <f t="shared" si="732"/>
        <v>0</v>
      </c>
      <c r="L2279" s="42">
        <f t="shared" si="733"/>
        <v>0</v>
      </c>
      <c r="M2279" s="217">
        <f t="shared" si="744"/>
        <v>0</v>
      </c>
      <c r="N2279" s="180"/>
      <c r="R2279" s="42">
        <f>R2280</f>
        <v>0</v>
      </c>
      <c r="S2279" s="42">
        <f>S2280</f>
        <v>0</v>
      </c>
      <c r="T2279" s="217"/>
      <c r="U2279" s="42">
        <f>U2280</f>
        <v>203.50990999999999</v>
      </c>
      <c r="V2279" s="42">
        <f>V2280</f>
        <v>0</v>
      </c>
      <c r="W2279" s="203">
        <f t="shared" si="747"/>
        <v>0</v>
      </c>
      <c r="X2279" s="203">
        <f t="shared" si="748"/>
        <v>0</v>
      </c>
    </row>
    <row r="2280" spans="1:24" ht="126.75" hidden="1" customHeight="1" x14ac:dyDescent="0.2">
      <c r="A2280" s="118" t="s">
        <v>1315</v>
      </c>
      <c r="B2280" s="67" t="s">
        <v>970</v>
      </c>
      <c r="C2280" s="347" t="s">
        <v>27</v>
      </c>
      <c r="D2280" s="347" t="s">
        <v>606</v>
      </c>
      <c r="E2280" s="374" t="s">
        <v>328</v>
      </c>
      <c r="F2280" s="374"/>
      <c r="G2280" s="42">
        <f t="shared" si="749"/>
        <v>0</v>
      </c>
      <c r="H2280" s="42">
        <f t="shared" si="749"/>
        <v>0</v>
      </c>
      <c r="I2280" s="42">
        <f t="shared" si="749"/>
        <v>0</v>
      </c>
      <c r="J2280" s="42">
        <f t="shared" si="749"/>
        <v>0</v>
      </c>
      <c r="K2280" s="42">
        <f t="shared" si="732"/>
        <v>0</v>
      </c>
      <c r="L2280" s="42">
        <f t="shared" si="733"/>
        <v>0</v>
      </c>
      <c r="M2280" s="217">
        <f t="shared" si="744"/>
        <v>0</v>
      </c>
      <c r="N2280" s="180"/>
      <c r="R2280" s="42">
        <f>R2281</f>
        <v>0</v>
      </c>
      <c r="S2280" s="42">
        <f>S2281</f>
        <v>0</v>
      </c>
      <c r="T2280" s="217"/>
      <c r="U2280" s="42">
        <f>U2281</f>
        <v>203.50990999999999</v>
      </c>
      <c r="V2280" s="42">
        <f>V2281</f>
        <v>0</v>
      </c>
      <c r="W2280" s="203">
        <f t="shared" si="747"/>
        <v>0</v>
      </c>
      <c r="X2280" s="203">
        <f t="shared" si="748"/>
        <v>0</v>
      </c>
    </row>
    <row r="2281" spans="1:24" ht="15" hidden="1" x14ac:dyDescent="0.2">
      <c r="A2281" s="124" t="s">
        <v>125</v>
      </c>
      <c r="B2281" s="68" t="s">
        <v>970</v>
      </c>
      <c r="C2281" s="351" t="s">
        <v>27</v>
      </c>
      <c r="D2281" s="351" t="s">
        <v>606</v>
      </c>
      <c r="E2281" s="378" t="s">
        <v>328</v>
      </c>
      <c r="F2281" s="378" t="s">
        <v>123</v>
      </c>
      <c r="G2281" s="43">
        <v>0</v>
      </c>
      <c r="H2281" s="43">
        <v>0</v>
      </c>
      <c r="I2281" s="43">
        <v>0</v>
      </c>
      <c r="J2281" s="43">
        <v>0</v>
      </c>
      <c r="K2281" s="43">
        <f t="shared" si="732"/>
        <v>0</v>
      </c>
      <c r="L2281" s="43">
        <f t="shared" si="733"/>
        <v>0</v>
      </c>
      <c r="M2281" s="217">
        <f t="shared" si="744"/>
        <v>0</v>
      </c>
      <c r="N2281" s="180"/>
      <c r="R2281" s="43">
        <v>0</v>
      </c>
      <c r="S2281" s="43">
        <v>0</v>
      </c>
      <c r="T2281" s="217"/>
      <c r="U2281" s="43">
        <v>203.50990999999999</v>
      </c>
      <c r="V2281" s="43">
        <v>0</v>
      </c>
      <c r="W2281" s="203">
        <f t="shared" si="747"/>
        <v>0</v>
      </c>
      <c r="X2281" s="203">
        <f t="shared" si="748"/>
        <v>0</v>
      </c>
    </row>
    <row r="2282" spans="1:24" ht="15" x14ac:dyDescent="0.2">
      <c r="A2282" s="741" t="s">
        <v>1808</v>
      </c>
      <c r="B2282" s="67" t="s">
        <v>970</v>
      </c>
      <c r="C2282" s="350" t="s">
        <v>27</v>
      </c>
      <c r="D2282" s="350" t="s">
        <v>608</v>
      </c>
      <c r="E2282" s="377"/>
      <c r="F2282" s="377"/>
      <c r="G2282" s="42">
        <f t="shared" ref="G2282:J2286" si="750">G2283</f>
        <v>1080.45</v>
      </c>
      <c r="H2282" s="42">
        <f t="shared" si="750"/>
        <v>592.6</v>
      </c>
      <c r="I2282" s="42">
        <f t="shared" si="750"/>
        <v>1160.45</v>
      </c>
      <c r="J2282" s="42">
        <f t="shared" si="750"/>
        <v>592.6</v>
      </c>
      <c r="K2282" s="42">
        <f t="shared" si="732"/>
        <v>80</v>
      </c>
      <c r="L2282" s="42">
        <f t="shared" si="733"/>
        <v>0</v>
      </c>
      <c r="M2282" s="217"/>
      <c r="N2282" s="180"/>
      <c r="R2282" s="42">
        <f t="shared" ref="R2282:S2286" si="751">R2283</f>
        <v>1256.8499999999999</v>
      </c>
      <c r="S2282" s="42">
        <f t="shared" si="751"/>
        <v>776.94028000000014</v>
      </c>
      <c r="T2282" s="217"/>
      <c r="U2282" s="43"/>
      <c r="V2282" s="43"/>
      <c r="W2282" s="203"/>
      <c r="X2282" s="203"/>
    </row>
    <row r="2283" spans="1:24" ht="15" customHeight="1" x14ac:dyDescent="0.2">
      <c r="A2283" s="742" t="s">
        <v>341</v>
      </c>
      <c r="B2283" s="67" t="s">
        <v>970</v>
      </c>
      <c r="C2283" s="350" t="s">
        <v>27</v>
      </c>
      <c r="D2283" s="350" t="s">
        <v>608</v>
      </c>
      <c r="E2283" s="377" t="s">
        <v>342</v>
      </c>
      <c r="F2283" s="377"/>
      <c r="G2283" s="42">
        <f t="shared" si="750"/>
        <v>1080.45</v>
      </c>
      <c r="H2283" s="42">
        <f t="shared" si="750"/>
        <v>592.6</v>
      </c>
      <c r="I2283" s="42">
        <f t="shared" si="750"/>
        <v>1160.45</v>
      </c>
      <c r="J2283" s="42">
        <f t="shared" si="750"/>
        <v>592.6</v>
      </c>
      <c r="K2283" s="42">
        <f t="shared" si="732"/>
        <v>80</v>
      </c>
      <c r="L2283" s="42">
        <f t="shared" si="733"/>
        <v>0</v>
      </c>
      <c r="M2283" s="217"/>
      <c r="N2283" s="180"/>
      <c r="R2283" s="42">
        <f t="shared" si="751"/>
        <v>1256.8499999999999</v>
      </c>
      <c r="S2283" s="42">
        <f t="shared" si="751"/>
        <v>776.94028000000014</v>
      </c>
      <c r="T2283" s="217"/>
      <c r="U2283" s="43"/>
      <c r="V2283" s="43"/>
      <c r="W2283" s="203"/>
      <c r="X2283" s="203"/>
    </row>
    <row r="2284" spans="1:24" ht="15" x14ac:dyDescent="0.2">
      <c r="A2284" s="742" t="s">
        <v>1325</v>
      </c>
      <c r="B2284" s="67" t="s">
        <v>970</v>
      </c>
      <c r="C2284" s="350" t="s">
        <v>27</v>
      </c>
      <c r="D2284" s="350" t="s">
        <v>608</v>
      </c>
      <c r="E2284" s="377" t="s">
        <v>651</v>
      </c>
      <c r="F2284" s="377"/>
      <c r="G2284" s="42">
        <f t="shared" si="750"/>
        <v>1080.45</v>
      </c>
      <c r="H2284" s="42">
        <f t="shared" si="750"/>
        <v>592.6</v>
      </c>
      <c r="I2284" s="42">
        <f t="shared" si="750"/>
        <v>1160.45</v>
      </c>
      <c r="J2284" s="42">
        <f t="shared" si="750"/>
        <v>592.6</v>
      </c>
      <c r="K2284" s="42">
        <f t="shared" si="732"/>
        <v>80</v>
      </c>
      <c r="L2284" s="42">
        <f t="shared" si="733"/>
        <v>0</v>
      </c>
      <c r="M2284" s="217"/>
      <c r="N2284" s="180"/>
      <c r="R2284" s="42">
        <f t="shared" si="751"/>
        <v>1256.8499999999999</v>
      </c>
      <c r="S2284" s="42">
        <f t="shared" si="751"/>
        <v>776.94028000000014</v>
      </c>
      <c r="T2284" s="217"/>
      <c r="U2284" s="43"/>
      <c r="V2284" s="43"/>
      <c r="W2284" s="203"/>
      <c r="X2284" s="203"/>
    </row>
    <row r="2285" spans="1:24" ht="15" x14ac:dyDescent="0.2">
      <c r="A2285" s="742" t="s">
        <v>1326</v>
      </c>
      <c r="B2285" s="67" t="s">
        <v>970</v>
      </c>
      <c r="C2285" s="350" t="s">
        <v>27</v>
      </c>
      <c r="D2285" s="350" t="s">
        <v>608</v>
      </c>
      <c r="E2285" s="377" t="s">
        <v>652</v>
      </c>
      <c r="F2285" s="377"/>
      <c r="G2285" s="42">
        <f t="shared" si="750"/>
        <v>1080.45</v>
      </c>
      <c r="H2285" s="42">
        <f t="shared" si="750"/>
        <v>592.6</v>
      </c>
      <c r="I2285" s="42">
        <f t="shared" si="750"/>
        <v>1160.45</v>
      </c>
      <c r="J2285" s="42">
        <f t="shared" si="750"/>
        <v>592.6</v>
      </c>
      <c r="K2285" s="42">
        <f t="shared" si="732"/>
        <v>80</v>
      </c>
      <c r="L2285" s="42">
        <f t="shared" si="733"/>
        <v>0</v>
      </c>
      <c r="M2285" s="217"/>
      <c r="N2285" s="180"/>
      <c r="R2285" s="42">
        <f t="shared" si="751"/>
        <v>1256.8499999999999</v>
      </c>
      <c r="S2285" s="42">
        <f t="shared" si="751"/>
        <v>776.94028000000014</v>
      </c>
      <c r="T2285" s="217"/>
      <c r="U2285" s="43"/>
      <c r="V2285" s="43"/>
      <c r="W2285" s="203"/>
      <c r="X2285" s="203"/>
    </row>
    <row r="2286" spans="1:24" ht="15" x14ac:dyDescent="0.2">
      <c r="A2286" s="742" t="s">
        <v>854</v>
      </c>
      <c r="B2286" s="67" t="s">
        <v>970</v>
      </c>
      <c r="C2286" s="350" t="s">
        <v>27</v>
      </c>
      <c r="D2286" s="350" t="s">
        <v>608</v>
      </c>
      <c r="E2286" s="377" t="s">
        <v>853</v>
      </c>
      <c r="F2286" s="377"/>
      <c r="G2286" s="42">
        <f t="shared" si="750"/>
        <v>1080.45</v>
      </c>
      <c r="H2286" s="42">
        <f t="shared" si="750"/>
        <v>592.6</v>
      </c>
      <c r="I2286" s="42">
        <f t="shared" si="750"/>
        <v>1160.45</v>
      </c>
      <c r="J2286" s="42">
        <f t="shared" si="750"/>
        <v>592.6</v>
      </c>
      <c r="K2286" s="42">
        <f t="shared" si="732"/>
        <v>80</v>
      </c>
      <c r="L2286" s="42">
        <f t="shared" si="733"/>
        <v>0</v>
      </c>
      <c r="M2286" s="217"/>
      <c r="N2286" s="180"/>
      <c r="R2286" s="42">
        <f t="shared" si="751"/>
        <v>1256.8499999999999</v>
      </c>
      <c r="S2286" s="42">
        <f t="shared" si="751"/>
        <v>776.94028000000014</v>
      </c>
      <c r="T2286" s="217"/>
      <c r="U2286" s="43"/>
      <c r="V2286" s="43"/>
      <c r="W2286" s="203"/>
      <c r="X2286" s="203"/>
    </row>
    <row r="2287" spans="1:24" ht="15" x14ac:dyDescent="0.2">
      <c r="A2287" s="739" t="s">
        <v>575</v>
      </c>
      <c r="B2287" s="68" t="s">
        <v>970</v>
      </c>
      <c r="C2287" s="351" t="s">
        <v>27</v>
      </c>
      <c r="D2287" s="351" t="s">
        <v>608</v>
      </c>
      <c r="E2287" s="378" t="s">
        <v>853</v>
      </c>
      <c r="F2287" s="378" t="s">
        <v>576</v>
      </c>
      <c r="G2287" s="43">
        <v>1080.45</v>
      </c>
      <c r="H2287" s="653">
        <v>592.6</v>
      </c>
      <c r="I2287" s="43">
        <v>1160.45</v>
      </c>
      <c r="J2287" s="653">
        <v>592.6</v>
      </c>
      <c r="K2287" s="43">
        <f t="shared" si="732"/>
        <v>80</v>
      </c>
      <c r="L2287" s="43">
        <f t="shared" si="733"/>
        <v>0</v>
      </c>
      <c r="M2287" s="217"/>
      <c r="N2287" s="180"/>
      <c r="R2287" s="43">
        <v>1256.8499999999999</v>
      </c>
      <c r="S2287" s="43">
        <v>776.94028000000014</v>
      </c>
      <c r="T2287" s="217"/>
      <c r="U2287" s="43"/>
      <c r="V2287" s="43"/>
      <c r="W2287" s="203"/>
      <c r="X2287" s="203"/>
    </row>
    <row r="2288" spans="1:24" ht="15" x14ac:dyDescent="0.2">
      <c r="A2288" s="738" t="s">
        <v>113</v>
      </c>
      <c r="B2288" s="67" t="s">
        <v>970</v>
      </c>
      <c r="C2288" s="350" t="s">
        <v>28</v>
      </c>
      <c r="D2288" s="355"/>
      <c r="E2288" s="381"/>
      <c r="F2288" s="381"/>
      <c r="G2288" s="127">
        <f>G2289+G2339+G2324</f>
        <v>22221.675950000001</v>
      </c>
      <c r="H2288" s="127">
        <f>H2289+H2339+H2324</f>
        <v>147.35</v>
      </c>
      <c r="I2288" s="127">
        <f>I2289+I2339+I2324</f>
        <v>31059.779889999998</v>
      </c>
      <c r="J2288" s="127">
        <f>J2289+J2339+J2324</f>
        <v>187.35</v>
      </c>
      <c r="K2288" s="127">
        <f t="shared" si="732"/>
        <v>8838.1039399999972</v>
      </c>
      <c r="L2288" s="127">
        <f t="shared" si="733"/>
        <v>40</v>
      </c>
      <c r="M2288" s="217">
        <f t="shared" si="744"/>
        <v>0</v>
      </c>
      <c r="N2288" s="180"/>
      <c r="R2288" s="127">
        <f>R2289+R2339+R2324</f>
        <v>21705.341779999999</v>
      </c>
      <c r="S2288" s="127">
        <f>S2289+S2339+S2324</f>
        <v>2303.9213199999999</v>
      </c>
      <c r="T2288" s="217"/>
      <c r="U2288" s="127" t="e">
        <f>U2289+U2339+U2324</f>
        <v>#REF!</v>
      </c>
      <c r="V2288" s="127" t="e">
        <f>V2289+V2339+V2324</f>
        <v>#REF!</v>
      </c>
      <c r="W2288" s="203">
        <f t="shared" si="747"/>
        <v>-8838.1039399999972</v>
      </c>
      <c r="X2288" s="203">
        <f t="shared" si="748"/>
        <v>0</v>
      </c>
    </row>
    <row r="2289" spans="1:24" ht="15" x14ac:dyDescent="0.2">
      <c r="A2289" s="738" t="s">
        <v>629</v>
      </c>
      <c r="B2289" s="67" t="s">
        <v>970</v>
      </c>
      <c r="C2289" s="350" t="s">
        <v>28</v>
      </c>
      <c r="D2289" s="350" t="s">
        <v>614</v>
      </c>
      <c r="E2289" s="381"/>
      <c r="F2289" s="381"/>
      <c r="G2289" s="127">
        <f>G2290+G2319+G2312</f>
        <v>5462.44643</v>
      </c>
      <c r="H2289" s="127">
        <f>H2290+H2319+H2312</f>
        <v>0</v>
      </c>
      <c r="I2289" s="127">
        <f>I2290+I2319+I2312</f>
        <v>7132.3430900000003</v>
      </c>
      <c r="J2289" s="127">
        <f>J2290+J2319+J2312</f>
        <v>0</v>
      </c>
      <c r="K2289" s="127">
        <f t="shared" si="732"/>
        <v>1669.8966600000003</v>
      </c>
      <c r="L2289" s="127">
        <f t="shared" si="733"/>
        <v>0</v>
      </c>
      <c r="M2289" s="217">
        <f t="shared" si="744"/>
        <v>0</v>
      </c>
      <c r="N2289" s="180"/>
      <c r="R2289" s="127">
        <f>R2290+R2319+R2312</f>
        <v>5320.6261400000003</v>
      </c>
      <c r="S2289" s="127">
        <f>S2290+S2319+S2312</f>
        <v>0</v>
      </c>
      <c r="T2289" s="217"/>
      <c r="U2289" s="127">
        <f>U2290</f>
        <v>3425.0838600000002</v>
      </c>
      <c r="V2289" s="127">
        <f>V2290</f>
        <v>0</v>
      </c>
      <c r="W2289" s="203">
        <f t="shared" si="747"/>
        <v>-1669.8966600000003</v>
      </c>
      <c r="X2289" s="203">
        <f t="shared" si="748"/>
        <v>0</v>
      </c>
    </row>
    <row r="2290" spans="1:24" ht="16.5" customHeight="1" x14ac:dyDescent="0.2">
      <c r="A2290" s="742" t="s">
        <v>341</v>
      </c>
      <c r="B2290" s="128" t="s">
        <v>970</v>
      </c>
      <c r="C2290" s="355" t="s">
        <v>28</v>
      </c>
      <c r="D2290" s="355" t="s">
        <v>614</v>
      </c>
      <c r="E2290" s="381" t="s">
        <v>342</v>
      </c>
      <c r="F2290" s="381"/>
      <c r="G2290" s="127">
        <f>G2291+G2303</f>
        <v>4882.6464299999998</v>
      </c>
      <c r="H2290" s="127">
        <f>H2291+H2303</f>
        <v>0</v>
      </c>
      <c r="I2290" s="127">
        <f>I2291+I2303</f>
        <v>6299.3690900000001</v>
      </c>
      <c r="J2290" s="127">
        <f>J2291+J2303</f>
        <v>0</v>
      </c>
      <c r="K2290" s="127">
        <f t="shared" si="732"/>
        <v>1416.7226600000004</v>
      </c>
      <c r="L2290" s="127">
        <f t="shared" si="733"/>
        <v>0</v>
      </c>
      <c r="M2290" s="217">
        <f t="shared" si="744"/>
        <v>0</v>
      </c>
      <c r="N2290" s="180"/>
      <c r="R2290" s="127">
        <f>R2291+R2303</f>
        <v>4783.6261400000003</v>
      </c>
      <c r="S2290" s="127">
        <f>S2291+S2303</f>
        <v>0</v>
      </c>
      <c r="T2290" s="217"/>
      <c r="U2290" s="127">
        <f>U2291+U2303</f>
        <v>3425.0838600000002</v>
      </c>
      <c r="V2290" s="127">
        <f>V2291+V2303</f>
        <v>0</v>
      </c>
      <c r="W2290" s="203">
        <f t="shared" si="747"/>
        <v>-1416.7226600000004</v>
      </c>
      <c r="X2290" s="203">
        <f t="shared" si="748"/>
        <v>0</v>
      </c>
    </row>
    <row r="2291" spans="1:24" ht="15" x14ac:dyDescent="0.2">
      <c r="A2291" s="742" t="s">
        <v>343</v>
      </c>
      <c r="B2291" s="128" t="s">
        <v>970</v>
      </c>
      <c r="C2291" s="355" t="s">
        <v>28</v>
      </c>
      <c r="D2291" s="355" t="s">
        <v>614</v>
      </c>
      <c r="E2291" s="381" t="s">
        <v>344</v>
      </c>
      <c r="F2291" s="381"/>
      <c r="G2291" s="127">
        <f>G2292+G2297+G2300</f>
        <v>2685.9794299999999</v>
      </c>
      <c r="H2291" s="127">
        <f>H2292+H2297+H2300</f>
        <v>0</v>
      </c>
      <c r="I2291" s="127">
        <f>I2292+I2297+I2300</f>
        <v>4102.7020899999998</v>
      </c>
      <c r="J2291" s="127">
        <f>J2292+J2297+J2300</f>
        <v>0</v>
      </c>
      <c r="K2291" s="127">
        <f t="shared" si="732"/>
        <v>1416.7226599999999</v>
      </c>
      <c r="L2291" s="127">
        <f t="shared" si="733"/>
        <v>0</v>
      </c>
      <c r="M2291" s="217">
        <f t="shared" si="744"/>
        <v>0</v>
      </c>
      <c r="N2291" s="180"/>
      <c r="R2291" s="127">
        <f>R2292+R2297+R2300</f>
        <v>3060.29214</v>
      </c>
      <c r="S2291" s="127">
        <f>S2292+S2297+S2300</f>
        <v>0</v>
      </c>
      <c r="T2291" s="217"/>
      <c r="U2291" s="127">
        <f>U2292+U2297+U2300</f>
        <v>1926.1168600000001</v>
      </c>
      <c r="V2291" s="127">
        <f>V2292+V2297+V2300</f>
        <v>0</v>
      </c>
      <c r="W2291" s="203">
        <f t="shared" si="747"/>
        <v>-1416.7226599999999</v>
      </c>
      <c r="X2291" s="203">
        <f t="shared" si="748"/>
        <v>0</v>
      </c>
    </row>
    <row r="2292" spans="1:24" ht="25.5" x14ac:dyDescent="0.2">
      <c r="A2292" s="742" t="s">
        <v>1327</v>
      </c>
      <c r="B2292" s="128" t="s">
        <v>970</v>
      </c>
      <c r="C2292" s="355" t="s">
        <v>28</v>
      </c>
      <c r="D2292" s="355" t="s">
        <v>614</v>
      </c>
      <c r="E2292" s="381">
        <v>7510100000</v>
      </c>
      <c r="F2292" s="381"/>
      <c r="G2292" s="127">
        <f>G2293</f>
        <v>2685.9794299999999</v>
      </c>
      <c r="H2292" s="127">
        <f>H2293</f>
        <v>0</v>
      </c>
      <c r="I2292" s="127">
        <f>I2293</f>
        <v>4102.7020899999998</v>
      </c>
      <c r="J2292" s="127">
        <f>J2293</f>
        <v>0</v>
      </c>
      <c r="K2292" s="127">
        <f t="shared" si="732"/>
        <v>1416.7226599999999</v>
      </c>
      <c r="L2292" s="127">
        <f t="shared" si="733"/>
        <v>0</v>
      </c>
      <c r="M2292" s="217">
        <f t="shared" si="744"/>
        <v>0</v>
      </c>
      <c r="N2292" s="180"/>
      <c r="R2292" s="127">
        <f>R2293</f>
        <v>2705.29214</v>
      </c>
      <c r="S2292" s="127">
        <f>S2293</f>
        <v>0</v>
      </c>
      <c r="T2292" s="217"/>
      <c r="U2292" s="127">
        <f>U2293</f>
        <v>1926.1168600000001</v>
      </c>
      <c r="V2292" s="127">
        <f>V2293</f>
        <v>0</v>
      </c>
      <c r="W2292" s="203">
        <f t="shared" si="747"/>
        <v>-1416.7226599999999</v>
      </c>
      <c r="X2292" s="203">
        <f t="shared" si="748"/>
        <v>0</v>
      </c>
    </row>
    <row r="2293" spans="1:24" ht="15" x14ac:dyDescent="0.2">
      <c r="A2293" s="742" t="s">
        <v>46</v>
      </c>
      <c r="B2293" s="128" t="s">
        <v>970</v>
      </c>
      <c r="C2293" s="355" t="s">
        <v>28</v>
      </c>
      <c r="D2293" s="355" t="s">
        <v>614</v>
      </c>
      <c r="E2293" s="381">
        <v>7510182060</v>
      </c>
      <c r="F2293" s="381"/>
      <c r="G2293" s="127">
        <f>G2295+G2296+G2294</f>
        <v>2685.9794299999999</v>
      </c>
      <c r="H2293" s="127">
        <f>H2295+H2296+H2294</f>
        <v>0</v>
      </c>
      <c r="I2293" s="127">
        <f>I2295+I2296+I2294</f>
        <v>4102.7020899999998</v>
      </c>
      <c r="J2293" s="127">
        <f>J2295+J2296+J2294</f>
        <v>0</v>
      </c>
      <c r="K2293" s="127">
        <f t="shared" si="732"/>
        <v>1416.7226599999999</v>
      </c>
      <c r="L2293" s="127">
        <f t="shared" si="733"/>
        <v>0</v>
      </c>
      <c r="M2293" s="217">
        <f t="shared" si="744"/>
        <v>0</v>
      </c>
      <c r="N2293" s="180"/>
      <c r="R2293" s="127">
        <f>R2295+R2296+R2294</f>
        <v>2705.29214</v>
      </c>
      <c r="S2293" s="127">
        <f>S2295+S2296+S2294</f>
        <v>0</v>
      </c>
      <c r="T2293" s="217"/>
      <c r="U2293" s="127">
        <f>U2295+U2296+U2294</f>
        <v>1926.1168600000001</v>
      </c>
      <c r="V2293" s="127">
        <f>V2295+V2296+V2294</f>
        <v>0</v>
      </c>
      <c r="W2293" s="203">
        <f t="shared" si="747"/>
        <v>-1416.7226599999999</v>
      </c>
      <c r="X2293" s="203">
        <f t="shared" si="748"/>
        <v>0</v>
      </c>
    </row>
    <row r="2294" spans="1:24" ht="25.5" x14ac:dyDescent="0.2">
      <c r="A2294" s="739" t="s">
        <v>953</v>
      </c>
      <c r="B2294" s="129" t="s">
        <v>970</v>
      </c>
      <c r="C2294" s="356" t="s">
        <v>28</v>
      </c>
      <c r="D2294" s="356" t="s">
        <v>614</v>
      </c>
      <c r="E2294" s="382">
        <v>7510182060</v>
      </c>
      <c r="F2294" s="382" t="s">
        <v>775</v>
      </c>
      <c r="G2294" s="130">
        <v>6</v>
      </c>
      <c r="H2294" s="43"/>
      <c r="I2294" s="130">
        <v>6</v>
      </c>
      <c r="J2294" s="43"/>
      <c r="K2294" s="43">
        <f t="shared" si="732"/>
        <v>0</v>
      </c>
      <c r="L2294" s="43">
        <f t="shared" si="733"/>
        <v>0</v>
      </c>
      <c r="M2294" s="217">
        <f t="shared" si="744"/>
        <v>0</v>
      </c>
      <c r="N2294" s="180"/>
      <c r="R2294" s="130">
        <v>1.8</v>
      </c>
      <c r="S2294" s="43">
        <v>0</v>
      </c>
      <c r="T2294" s="217"/>
      <c r="U2294" s="130">
        <v>3</v>
      </c>
      <c r="V2294" s="43">
        <v>0</v>
      </c>
      <c r="W2294" s="203">
        <f t="shared" si="747"/>
        <v>0</v>
      </c>
      <c r="X2294" s="203">
        <f t="shared" si="748"/>
        <v>0</v>
      </c>
    </row>
    <row r="2295" spans="1:24" ht="15" x14ac:dyDescent="0.2">
      <c r="A2295" s="739" t="s">
        <v>834</v>
      </c>
      <c r="B2295" s="129" t="s">
        <v>970</v>
      </c>
      <c r="C2295" s="356" t="s">
        <v>28</v>
      </c>
      <c r="D2295" s="356" t="s">
        <v>614</v>
      </c>
      <c r="E2295" s="382">
        <v>7510182060</v>
      </c>
      <c r="F2295" s="382" t="s">
        <v>634</v>
      </c>
      <c r="G2295" s="130">
        <v>757.87942999999996</v>
      </c>
      <c r="H2295" s="43"/>
      <c r="I2295" s="130">
        <v>842.02209000000005</v>
      </c>
      <c r="J2295" s="43"/>
      <c r="K2295" s="43">
        <f t="shared" si="732"/>
        <v>84.142660000000092</v>
      </c>
      <c r="L2295" s="43">
        <f t="shared" si="733"/>
        <v>0</v>
      </c>
      <c r="M2295" s="217">
        <f t="shared" si="744"/>
        <v>0</v>
      </c>
      <c r="N2295" s="180"/>
      <c r="R2295" s="130">
        <v>91.379900000000006</v>
      </c>
      <c r="S2295" s="43">
        <v>0</v>
      </c>
      <c r="T2295" s="217"/>
      <c r="U2295" s="130">
        <v>89.013199999999998</v>
      </c>
      <c r="V2295" s="43">
        <v>0</v>
      </c>
      <c r="W2295" s="203">
        <f t="shared" si="747"/>
        <v>-84.142660000000092</v>
      </c>
      <c r="X2295" s="203">
        <f t="shared" si="748"/>
        <v>0</v>
      </c>
    </row>
    <row r="2296" spans="1:24" ht="15" x14ac:dyDescent="0.2">
      <c r="A2296" s="739" t="s">
        <v>1140</v>
      </c>
      <c r="B2296" s="129" t="s">
        <v>970</v>
      </c>
      <c r="C2296" s="356" t="s">
        <v>28</v>
      </c>
      <c r="D2296" s="356" t="s">
        <v>614</v>
      </c>
      <c r="E2296" s="382">
        <v>7510182060</v>
      </c>
      <c r="F2296" s="382" t="s">
        <v>1139</v>
      </c>
      <c r="G2296" s="130">
        <v>1922.1</v>
      </c>
      <c r="H2296" s="132"/>
      <c r="I2296" s="130">
        <v>3254.68</v>
      </c>
      <c r="J2296" s="132"/>
      <c r="K2296" s="43">
        <f t="shared" si="732"/>
        <v>1332.58</v>
      </c>
      <c r="L2296" s="43">
        <f t="shared" si="733"/>
        <v>0</v>
      </c>
      <c r="M2296" s="217">
        <f t="shared" si="744"/>
        <v>0</v>
      </c>
      <c r="N2296" s="180"/>
      <c r="R2296" s="130">
        <v>2612.1122399999999</v>
      </c>
      <c r="S2296" s="132">
        <v>0</v>
      </c>
      <c r="T2296" s="217"/>
      <c r="U2296" s="130">
        <v>1834.10366</v>
      </c>
      <c r="V2296" s="132">
        <v>0</v>
      </c>
      <c r="W2296" s="203">
        <f t="shared" si="747"/>
        <v>-1332.58</v>
      </c>
      <c r="X2296" s="203">
        <f t="shared" si="748"/>
        <v>0</v>
      </c>
    </row>
    <row r="2297" spans="1:24" ht="15" hidden="1" x14ac:dyDescent="0.2">
      <c r="A2297" s="121" t="s">
        <v>1328</v>
      </c>
      <c r="B2297" s="128" t="s">
        <v>970</v>
      </c>
      <c r="C2297" s="355" t="s">
        <v>28</v>
      </c>
      <c r="D2297" s="355" t="s">
        <v>614</v>
      </c>
      <c r="E2297" s="381">
        <v>7510300000</v>
      </c>
      <c r="F2297" s="381"/>
      <c r="G2297" s="127">
        <f t="shared" ref="G2297:J2298" si="752">G2298</f>
        <v>0</v>
      </c>
      <c r="H2297" s="127">
        <f t="shared" si="752"/>
        <v>0</v>
      </c>
      <c r="I2297" s="127">
        <f t="shared" si="752"/>
        <v>0</v>
      </c>
      <c r="J2297" s="127">
        <f t="shared" si="752"/>
        <v>0</v>
      </c>
      <c r="K2297" s="127">
        <f t="shared" si="732"/>
        <v>0</v>
      </c>
      <c r="L2297" s="127">
        <f t="shared" si="733"/>
        <v>0</v>
      </c>
      <c r="M2297" s="217">
        <f t="shared" si="744"/>
        <v>0</v>
      </c>
      <c r="N2297" s="180"/>
      <c r="R2297" s="127">
        <f>R2298</f>
        <v>45</v>
      </c>
      <c r="S2297" s="127">
        <f>S2298</f>
        <v>0</v>
      </c>
      <c r="T2297" s="217"/>
      <c r="U2297" s="127">
        <f>U2298</f>
        <v>0</v>
      </c>
      <c r="V2297" s="127">
        <f>V2298</f>
        <v>0</v>
      </c>
      <c r="W2297" s="203"/>
      <c r="X2297" s="203"/>
    </row>
    <row r="2298" spans="1:24" ht="15" hidden="1" x14ac:dyDescent="0.2">
      <c r="A2298" s="121" t="s">
        <v>46</v>
      </c>
      <c r="B2298" s="128" t="s">
        <v>970</v>
      </c>
      <c r="C2298" s="355" t="s">
        <v>28</v>
      </c>
      <c r="D2298" s="355" t="s">
        <v>614</v>
      </c>
      <c r="E2298" s="381">
        <v>7510382060</v>
      </c>
      <c r="F2298" s="381"/>
      <c r="G2298" s="127">
        <f t="shared" si="752"/>
        <v>0</v>
      </c>
      <c r="H2298" s="127">
        <f t="shared" si="752"/>
        <v>0</v>
      </c>
      <c r="I2298" s="127">
        <f t="shared" si="752"/>
        <v>0</v>
      </c>
      <c r="J2298" s="127">
        <f t="shared" si="752"/>
        <v>0</v>
      </c>
      <c r="K2298" s="127">
        <f t="shared" si="732"/>
        <v>0</v>
      </c>
      <c r="L2298" s="127">
        <f t="shared" si="733"/>
        <v>0</v>
      </c>
      <c r="M2298" s="217">
        <f t="shared" si="744"/>
        <v>0</v>
      </c>
      <c r="N2298" s="180"/>
      <c r="R2298" s="127">
        <f>R2299</f>
        <v>45</v>
      </c>
      <c r="S2298" s="127">
        <f>S2299</f>
        <v>0</v>
      </c>
      <c r="T2298" s="217"/>
      <c r="U2298" s="127">
        <f>U2299</f>
        <v>0</v>
      </c>
      <c r="V2298" s="127">
        <f>V2299</f>
        <v>0</v>
      </c>
      <c r="W2298" s="203"/>
      <c r="X2298" s="203"/>
    </row>
    <row r="2299" spans="1:24" ht="15" hidden="1" x14ac:dyDescent="0.2">
      <c r="A2299" s="124" t="s">
        <v>1140</v>
      </c>
      <c r="B2299" s="129" t="s">
        <v>970</v>
      </c>
      <c r="C2299" s="356" t="s">
        <v>28</v>
      </c>
      <c r="D2299" s="356" t="s">
        <v>614</v>
      </c>
      <c r="E2299" s="382">
        <v>7510382060</v>
      </c>
      <c r="F2299" s="382">
        <v>350</v>
      </c>
      <c r="G2299" s="130"/>
      <c r="H2299" s="43"/>
      <c r="I2299" s="130"/>
      <c r="J2299" s="43"/>
      <c r="K2299" s="43">
        <f t="shared" si="732"/>
        <v>0</v>
      </c>
      <c r="L2299" s="43">
        <f t="shared" si="733"/>
        <v>0</v>
      </c>
      <c r="M2299" s="217">
        <f t="shared" si="744"/>
        <v>0</v>
      </c>
      <c r="N2299" s="180"/>
      <c r="R2299" s="130">
        <v>45</v>
      </c>
      <c r="S2299" s="43">
        <v>0</v>
      </c>
      <c r="T2299" s="217"/>
      <c r="U2299" s="130">
        <v>0</v>
      </c>
      <c r="V2299" s="43">
        <v>0</v>
      </c>
      <c r="W2299" s="203"/>
      <c r="X2299" s="203"/>
    </row>
    <row r="2300" spans="1:24" ht="25.5" hidden="1" x14ac:dyDescent="0.2">
      <c r="A2300" s="121" t="s">
        <v>1329</v>
      </c>
      <c r="B2300" s="128" t="s">
        <v>970</v>
      </c>
      <c r="C2300" s="355" t="s">
        <v>28</v>
      </c>
      <c r="D2300" s="355" t="s">
        <v>614</v>
      </c>
      <c r="E2300" s="381">
        <v>7510500000</v>
      </c>
      <c r="F2300" s="381"/>
      <c r="G2300" s="127">
        <f t="shared" ref="G2300:J2301" si="753">G2301</f>
        <v>0</v>
      </c>
      <c r="H2300" s="127">
        <f t="shared" si="753"/>
        <v>0</v>
      </c>
      <c r="I2300" s="127">
        <f t="shared" si="753"/>
        <v>0</v>
      </c>
      <c r="J2300" s="127">
        <f t="shared" si="753"/>
        <v>0</v>
      </c>
      <c r="K2300" s="127">
        <f t="shared" si="732"/>
        <v>0</v>
      </c>
      <c r="L2300" s="127">
        <f t="shared" si="733"/>
        <v>0</v>
      </c>
      <c r="M2300" s="217">
        <f t="shared" si="744"/>
        <v>0</v>
      </c>
      <c r="N2300" s="180"/>
      <c r="R2300" s="127">
        <f>R2301</f>
        <v>310</v>
      </c>
      <c r="S2300" s="127">
        <f>S2301</f>
        <v>0</v>
      </c>
      <c r="T2300" s="217"/>
      <c r="U2300" s="127">
        <f>U2301</f>
        <v>0</v>
      </c>
      <c r="V2300" s="127">
        <f>V2301</f>
        <v>0</v>
      </c>
      <c r="W2300" s="203"/>
      <c r="X2300" s="203"/>
    </row>
    <row r="2301" spans="1:24" ht="15" hidden="1" x14ac:dyDescent="0.2">
      <c r="A2301" s="121" t="s">
        <v>46</v>
      </c>
      <c r="B2301" s="128" t="s">
        <v>970</v>
      </c>
      <c r="C2301" s="355" t="s">
        <v>28</v>
      </c>
      <c r="D2301" s="355" t="s">
        <v>614</v>
      </c>
      <c r="E2301" s="381">
        <v>7510582060</v>
      </c>
      <c r="F2301" s="381"/>
      <c r="G2301" s="127">
        <f t="shared" si="753"/>
        <v>0</v>
      </c>
      <c r="H2301" s="127">
        <f t="shared" si="753"/>
        <v>0</v>
      </c>
      <c r="I2301" s="127">
        <f t="shared" si="753"/>
        <v>0</v>
      </c>
      <c r="J2301" s="127">
        <f t="shared" si="753"/>
        <v>0</v>
      </c>
      <c r="K2301" s="127">
        <f t="shared" si="732"/>
        <v>0</v>
      </c>
      <c r="L2301" s="127">
        <f t="shared" si="733"/>
        <v>0</v>
      </c>
      <c r="M2301" s="217">
        <f t="shared" si="744"/>
        <v>0</v>
      </c>
      <c r="N2301" s="180"/>
      <c r="R2301" s="127">
        <f>R2302</f>
        <v>310</v>
      </c>
      <c r="S2301" s="127">
        <f>S2302</f>
        <v>0</v>
      </c>
      <c r="T2301" s="217"/>
      <c r="U2301" s="127">
        <f>U2302</f>
        <v>0</v>
      </c>
      <c r="V2301" s="127">
        <f>V2302</f>
        <v>0</v>
      </c>
      <c r="W2301" s="203"/>
      <c r="X2301" s="203"/>
    </row>
    <row r="2302" spans="1:24" ht="15" hidden="1" x14ac:dyDescent="0.2">
      <c r="A2302" s="124" t="s">
        <v>1140</v>
      </c>
      <c r="B2302" s="129" t="s">
        <v>970</v>
      </c>
      <c r="C2302" s="356" t="s">
        <v>28</v>
      </c>
      <c r="D2302" s="356" t="s">
        <v>614</v>
      </c>
      <c r="E2302" s="382">
        <v>7510582060</v>
      </c>
      <c r="F2302" s="382">
        <v>350</v>
      </c>
      <c r="G2302" s="130"/>
      <c r="H2302" s="43"/>
      <c r="I2302" s="130"/>
      <c r="J2302" s="43"/>
      <c r="K2302" s="43">
        <f t="shared" si="732"/>
        <v>0</v>
      </c>
      <c r="L2302" s="43">
        <f t="shared" si="733"/>
        <v>0</v>
      </c>
      <c r="M2302" s="217">
        <f t="shared" si="744"/>
        <v>0</v>
      </c>
      <c r="N2302" s="180"/>
      <c r="R2302" s="130">
        <v>310</v>
      </c>
      <c r="S2302" s="43">
        <v>0</v>
      </c>
      <c r="T2302" s="217"/>
      <c r="U2302" s="130"/>
      <c r="V2302" s="43">
        <v>0</v>
      </c>
      <c r="W2302" s="203"/>
      <c r="X2302" s="203"/>
    </row>
    <row r="2303" spans="1:24" ht="15" x14ac:dyDescent="0.2">
      <c r="A2303" s="742" t="s">
        <v>1330</v>
      </c>
      <c r="B2303" s="128" t="s">
        <v>970</v>
      </c>
      <c r="C2303" s="355" t="s">
        <v>28</v>
      </c>
      <c r="D2303" s="355" t="s">
        <v>614</v>
      </c>
      <c r="E2303" s="381">
        <v>7520000000</v>
      </c>
      <c r="F2303" s="381"/>
      <c r="G2303" s="127">
        <f>G2304</f>
        <v>2196.6669999999999</v>
      </c>
      <c r="H2303" s="127">
        <f>H2305</f>
        <v>0</v>
      </c>
      <c r="I2303" s="127">
        <f>I2304</f>
        <v>2196.6669999999999</v>
      </c>
      <c r="J2303" s="127">
        <f>J2305</f>
        <v>0</v>
      </c>
      <c r="K2303" s="127">
        <f t="shared" si="732"/>
        <v>0</v>
      </c>
      <c r="L2303" s="127">
        <f t="shared" si="733"/>
        <v>0</v>
      </c>
      <c r="M2303" s="217">
        <f t="shared" si="744"/>
        <v>0</v>
      </c>
      <c r="N2303" s="180"/>
      <c r="R2303" s="127">
        <f>R2304</f>
        <v>1723.3339999999998</v>
      </c>
      <c r="S2303" s="127">
        <f>S2305</f>
        <v>0</v>
      </c>
      <c r="T2303" s="217"/>
      <c r="U2303" s="127">
        <f>U2304</f>
        <v>1498.9670000000001</v>
      </c>
      <c r="V2303" s="127">
        <f>V2305</f>
        <v>0</v>
      </c>
      <c r="W2303" s="203"/>
      <c r="X2303" s="203"/>
    </row>
    <row r="2304" spans="1:24" ht="15" x14ac:dyDescent="0.2">
      <c r="A2304" s="742" t="s">
        <v>1331</v>
      </c>
      <c r="B2304" s="128" t="s">
        <v>970</v>
      </c>
      <c r="C2304" s="355" t="s">
        <v>28</v>
      </c>
      <c r="D2304" s="355" t="s">
        <v>614</v>
      </c>
      <c r="E2304" s="381">
        <v>7520100000</v>
      </c>
      <c r="F2304" s="381"/>
      <c r="G2304" s="127">
        <f>G2305</f>
        <v>2196.6669999999999</v>
      </c>
      <c r="H2304" s="127">
        <f>H2306</f>
        <v>0</v>
      </c>
      <c r="I2304" s="127">
        <f>I2305</f>
        <v>2196.6669999999999</v>
      </c>
      <c r="J2304" s="127">
        <f>J2306</f>
        <v>0</v>
      </c>
      <c r="K2304" s="127">
        <f t="shared" ref="K2304:K2366" si="754">I2304-G2304</f>
        <v>0</v>
      </c>
      <c r="L2304" s="127">
        <f t="shared" ref="L2304:L2366" si="755">J2304-H2304</f>
        <v>0</v>
      </c>
      <c r="M2304" s="217">
        <f t="shared" si="744"/>
        <v>0</v>
      </c>
      <c r="N2304" s="180"/>
      <c r="R2304" s="127">
        <f>R2305</f>
        <v>1723.3339999999998</v>
      </c>
      <c r="S2304" s="127">
        <f>S2306</f>
        <v>0</v>
      </c>
      <c r="T2304" s="217"/>
      <c r="U2304" s="127">
        <f>U2305</f>
        <v>1498.9670000000001</v>
      </c>
      <c r="V2304" s="127">
        <f>V2306</f>
        <v>0</v>
      </c>
      <c r="W2304" s="203"/>
      <c r="X2304" s="203"/>
    </row>
    <row r="2305" spans="1:24" ht="15" x14ac:dyDescent="0.2">
      <c r="A2305" s="742" t="s">
        <v>283</v>
      </c>
      <c r="B2305" s="128" t="s">
        <v>970</v>
      </c>
      <c r="C2305" s="355" t="s">
        <v>28</v>
      </c>
      <c r="D2305" s="355" t="s">
        <v>614</v>
      </c>
      <c r="E2305" s="381" t="s">
        <v>1332</v>
      </c>
      <c r="F2305" s="381"/>
      <c r="G2305" s="127">
        <f>SUM(G2306:G2307)</f>
        <v>2196.6669999999999</v>
      </c>
      <c r="H2305" s="127">
        <f>SUM(H2306:H2307)</f>
        <v>0</v>
      </c>
      <c r="I2305" s="127">
        <f>SUM(I2306:I2307)</f>
        <v>2196.6669999999999</v>
      </c>
      <c r="J2305" s="127">
        <f>SUM(J2306:J2307)</f>
        <v>0</v>
      </c>
      <c r="K2305" s="127">
        <f t="shared" si="754"/>
        <v>0</v>
      </c>
      <c r="L2305" s="127">
        <f t="shared" si="755"/>
        <v>0</v>
      </c>
      <c r="M2305" s="217">
        <f t="shared" si="744"/>
        <v>0</v>
      </c>
      <c r="N2305" s="180"/>
      <c r="R2305" s="127">
        <f>SUM(R2306:R2307)</f>
        <v>1723.3339999999998</v>
      </c>
      <c r="S2305" s="127">
        <f>SUM(S2306:S2307)</f>
        <v>0</v>
      </c>
      <c r="T2305" s="217"/>
      <c r="U2305" s="127">
        <f>SUM(U2306:U2307)</f>
        <v>1498.9670000000001</v>
      </c>
      <c r="V2305" s="127">
        <f>SUM(V2306:V2307)</f>
        <v>0</v>
      </c>
      <c r="W2305" s="203">
        <f t="shared" si="747"/>
        <v>0</v>
      </c>
      <c r="X2305" s="203">
        <f t="shared" si="748"/>
        <v>0</v>
      </c>
    </row>
    <row r="2306" spans="1:24" ht="15" x14ac:dyDescent="0.2">
      <c r="A2306" s="745" t="s">
        <v>655</v>
      </c>
      <c r="B2306" s="129" t="s">
        <v>970</v>
      </c>
      <c r="C2306" s="356" t="s">
        <v>28</v>
      </c>
      <c r="D2306" s="356" t="s">
        <v>614</v>
      </c>
      <c r="E2306" s="382" t="s">
        <v>1332</v>
      </c>
      <c r="F2306" s="382" t="s">
        <v>189</v>
      </c>
      <c r="G2306" s="130">
        <v>1687.1314</v>
      </c>
      <c r="H2306" s="130"/>
      <c r="I2306" s="130">
        <v>1687.1314</v>
      </c>
      <c r="J2306" s="130"/>
      <c r="K2306" s="43">
        <f t="shared" si="754"/>
        <v>0</v>
      </c>
      <c r="L2306" s="43">
        <f t="shared" si="755"/>
        <v>0</v>
      </c>
      <c r="M2306" s="217">
        <f t="shared" si="744"/>
        <v>0</v>
      </c>
      <c r="N2306" s="180"/>
      <c r="R2306" s="130">
        <v>1321.6088099999999</v>
      </c>
      <c r="S2306" s="130">
        <v>0</v>
      </c>
      <c r="T2306" s="217"/>
      <c r="U2306" s="130">
        <v>1151.28</v>
      </c>
      <c r="V2306" s="130">
        <v>0</v>
      </c>
      <c r="W2306" s="203">
        <f t="shared" si="747"/>
        <v>0</v>
      </c>
      <c r="X2306" s="203">
        <f t="shared" si="748"/>
        <v>0</v>
      </c>
    </row>
    <row r="2307" spans="1:24" ht="25.5" x14ac:dyDescent="0.2">
      <c r="A2307" s="745" t="s">
        <v>534</v>
      </c>
      <c r="B2307" s="129" t="s">
        <v>970</v>
      </c>
      <c r="C2307" s="356" t="s">
        <v>28</v>
      </c>
      <c r="D2307" s="356" t="s">
        <v>614</v>
      </c>
      <c r="E2307" s="382" t="s">
        <v>1332</v>
      </c>
      <c r="F2307" s="382" t="s">
        <v>535</v>
      </c>
      <c r="G2307" s="130">
        <v>509.53559999999999</v>
      </c>
      <c r="H2307" s="130"/>
      <c r="I2307" s="130">
        <v>509.53559999999999</v>
      </c>
      <c r="J2307" s="130"/>
      <c r="K2307" s="43">
        <f t="shared" si="754"/>
        <v>0</v>
      </c>
      <c r="L2307" s="43">
        <f t="shared" si="755"/>
        <v>0</v>
      </c>
      <c r="M2307" s="217">
        <f t="shared" si="744"/>
        <v>0</v>
      </c>
      <c r="N2307" s="180"/>
      <c r="R2307" s="130">
        <v>401.72519</v>
      </c>
      <c r="S2307" s="130">
        <v>0</v>
      </c>
      <c r="T2307" s="217"/>
      <c r="U2307" s="130">
        <v>347.68700000000001</v>
      </c>
      <c r="V2307" s="130">
        <v>0</v>
      </c>
      <c r="W2307" s="203">
        <f t="shared" si="747"/>
        <v>0</v>
      </c>
      <c r="X2307" s="203">
        <f t="shared" si="748"/>
        <v>0</v>
      </c>
    </row>
    <row r="2308" spans="1:24" ht="30" hidden="1" customHeight="1" x14ac:dyDescent="0.2">
      <c r="A2308" s="121" t="s">
        <v>1103</v>
      </c>
      <c r="B2308" s="67" t="s">
        <v>970</v>
      </c>
      <c r="C2308" s="350" t="s">
        <v>28</v>
      </c>
      <c r="D2308" s="350" t="s">
        <v>614</v>
      </c>
      <c r="E2308" s="381" t="s">
        <v>1102</v>
      </c>
      <c r="F2308" s="381"/>
      <c r="G2308" s="127">
        <f>G2309</f>
        <v>0</v>
      </c>
      <c r="H2308" s="127">
        <f>H2309</f>
        <v>0</v>
      </c>
      <c r="I2308" s="127">
        <f>I2309</f>
        <v>0</v>
      </c>
      <c r="J2308" s="127">
        <f>J2309</f>
        <v>0</v>
      </c>
      <c r="K2308" s="127">
        <f t="shared" si="754"/>
        <v>0</v>
      </c>
      <c r="L2308" s="127">
        <f t="shared" si="755"/>
        <v>0</v>
      </c>
      <c r="M2308" s="217">
        <f t="shared" si="744"/>
        <v>0</v>
      </c>
      <c r="N2308" s="180"/>
      <c r="R2308" s="127">
        <f>R2309</f>
        <v>0</v>
      </c>
      <c r="S2308" s="127">
        <f>S2309</f>
        <v>0</v>
      </c>
      <c r="T2308" s="217"/>
      <c r="U2308" s="127">
        <f>U2309</f>
        <v>0</v>
      </c>
      <c r="V2308" s="127">
        <f>V2309</f>
        <v>0</v>
      </c>
      <c r="W2308" s="203">
        <f t="shared" si="747"/>
        <v>0</v>
      </c>
      <c r="X2308" s="203">
        <f t="shared" si="748"/>
        <v>0</v>
      </c>
    </row>
    <row r="2309" spans="1:24" ht="25.5" hidden="1" x14ac:dyDescent="0.2">
      <c r="A2309" s="124" t="s">
        <v>648</v>
      </c>
      <c r="B2309" s="68" t="s">
        <v>970</v>
      </c>
      <c r="C2309" s="351" t="s">
        <v>28</v>
      </c>
      <c r="D2309" s="351" t="s">
        <v>614</v>
      </c>
      <c r="E2309" s="382" t="s">
        <v>1102</v>
      </c>
      <c r="F2309" s="382" t="s">
        <v>127</v>
      </c>
      <c r="G2309" s="130">
        <f>4822.4-4822.4</f>
        <v>0</v>
      </c>
      <c r="H2309" s="132"/>
      <c r="I2309" s="130">
        <f>4822.4-4822.4</f>
        <v>0</v>
      </c>
      <c r="J2309" s="132"/>
      <c r="K2309" s="43">
        <f t="shared" si="754"/>
        <v>0</v>
      </c>
      <c r="L2309" s="43">
        <f t="shared" si="755"/>
        <v>0</v>
      </c>
      <c r="M2309" s="217">
        <f t="shared" si="744"/>
        <v>0</v>
      </c>
      <c r="N2309" s="180"/>
      <c r="R2309" s="130">
        <f>4822.4-4822.4</f>
        <v>0</v>
      </c>
      <c r="S2309" s="132"/>
      <c r="T2309" s="217"/>
      <c r="U2309" s="130">
        <f>4822.4-4822.4</f>
        <v>0</v>
      </c>
      <c r="V2309" s="132"/>
      <c r="W2309" s="203">
        <f t="shared" si="747"/>
        <v>0</v>
      </c>
      <c r="X2309" s="203">
        <f t="shared" si="748"/>
        <v>0</v>
      </c>
    </row>
    <row r="2310" spans="1:24" ht="15" hidden="1" x14ac:dyDescent="0.2">
      <c r="A2310" s="119" t="s">
        <v>1050</v>
      </c>
      <c r="B2310" s="67" t="s">
        <v>970</v>
      </c>
      <c r="C2310" s="350" t="s">
        <v>28</v>
      </c>
      <c r="D2310" s="350" t="s">
        <v>614</v>
      </c>
      <c r="E2310" s="381" t="s">
        <v>1053</v>
      </c>
      <c r="F2310" s="381"/>
      <c r="G2310" s="127">
        <f>SUM(G2311:G2311)</f>
        <v>0</v>
      </c>
      <c r="H2310" s="127">
        <f>SUM(H2311:H2311)</f>
        <v>0</v>
      </c>
      <c r="I2310" s="127">
        <f>SUM(I2311:I2311)</f>
        <v>0</v>
      </c>
      <c r="J2310" s="127">
        <f>SUM(J2311:J2311)</f>
        <v>0</v>
      </c>
      <c r="K2310" s="127">
        <f t="shared" si="754"/>
        <v>0</v>
      </c>
      <c r="L2310" s="127">
        <f t="shared" si="755"/>
        <v>0</v>
      </c>
      <c r="M2310" s="217">
        <f t="shared" si="744"/>
        <v>0</v>
      </c>
      <c r="N2310" s="180"/>
      <c r="R2310" s="127">
        <f>SUM(R2311:R2311)</f>
        <v>0</v>
      </c>
      <c r="S2310" s="127">
        <f>SUM(S2311:S2311)</f>
        <v>0</v>
      </c>
      <c r="T2310" s="217"/>
      <c r="U2310" s="127">
        <f>SUM(U2311:U2311)</f>
        <v>0</v>
      </c>
      <c r="V2310" s="127">
        <f>SUM(V2311:V2311)</f>
        <v>0</v>
      </c>
      <c r="W2310" s="203">
        <f t="shared" si="747"/>
        <v>0</v>
      </c>
      <c r="X2310" s="203">
        <f t="shared" si="748"/>
        <v>0</v>
      </c>
    </row>
    <row r="2311" spans="1:24" ht="25.5" hidden="1" x14ac:dyDescent="0.2">
      <c r="A2311" s="124" t="s">
        <v>648</v>
      </c>
      <c r="B2311" s="68" t="s">
        <v>970</v>
      </c>
      <c r="C2311" s="351" t="s">
        <v>28</v>
      </c>
      <c r="D2311" s="351" t="s">
        <v>614</v>
      </c>
      <c r="E2311" s="382" t="s">
        <v>1053</v>
      </c>
      <c r="F2311" s="382" t="s">
        <v>127</v>
      </c>
      <c r="G2311" s="130"/>
      <c r="H2311" s="132"/>
      <c r="I2311" s="130"/>
      <c r="J2311" s="132"/>
      <c r="K2311" s="43">
        <f t="shared" si="754"/>
        <v>0</v>
      </c>
      <c r="L2311" s="43">
        <f t="shared" si="755"/>
        <v>0</v>
      </c>
      <c r="M2311" s="217">
        <f t="shared" si="744"/>
        <v>0</v>
      </c>
      <c r="N2311" s="180"/>
      <c r="R2311" s="130"/>
      <c r="S2311" s="132"/>
      <c r="T2311" s="217"/>
      <c r="U2311" s="130"/>
      <c r="V2311" s="132"/>
      <c r="W2311" s="203">
        <f t="shared" si="747"/>
        <v>0</v>
      </c>
      <c r="X2311" s="203">
        <f t="shared" si="748"/>
        <v>0</v>
      </c>
    </row>
    <row r="2312" spans="1:24" ht="25.5" x14ac:dyDescent="0.2">
      <c r="A2312" s="741" t="s">
        <v>1511</v>
      </c>
      <c r="B2312" s="67" t="s">
        <v>970</v>
      </c>
      <c r="C2312" s="350" t="s">
        <v>28</v>
      </c>
      <c r="D2312" s="350" t="s">
        <v>614</v>
      </c>
      <c r="E2312" s="583" t="s">
        <v>1505</v>
      </c>
      <c r="F2312" s="381"/>
      <c r="G2312" s="127">
        <f>G2313+G2316</f>
        <v>539.79999999999995</v>
      </c>
      <c r="H2312" s="127">
        <f>H2313+H2316</f>
        <v>0</v>
      </c>
      <c r="I2312" s="127">
        <f>I2313+I2316</f>
        <v>539.79999999999995</v>
      </c>
      <c r="J2312" s="127">
        <f>J2313+J2316</f>
        <v>0</v>
      </c>
      <c r="K2312" s="127">
        <f t="shared" si="754"/>
        <v>0</v>
      </c>
      <c r="L2312" s="127">
        <f t="shared" si="755"/>
        <v>0</v>
      </c>
      <c r="M2312" s="217"/>
      <c r="N2312" s="180"/>
      <c r="R2312" s="127">
        <f t="shared" ref="R2312:S2314" si="756">R2313</f>
        <v>427</v>
      </c>
      <c r="S2312" s="127">
        <f t="shared" si="756"/>
        <v>0</v>
      </c>
      <c r="T2312" s="217"/>
      <c r="U2312" s="130"/>
      <c r="V2312" s="132"/>
      <c r="W2312" s="203"/>
      <c r="X2312" s="203"/>
    </row>
    <row r="2313" spans="1:24" ht="15" hidden="1" x14ac:dyDescent="0.2">
      <c r="A2313" s="121" t="s">
        <v>1537</v>
      </c>
      <c r="B2313" s="67" t="s">
        <v>970</v>
      </c>
      <c r="C2313" s="350" t="s">
        <v>28</v>
      </c>
      <c r="D2313" s="350" t="s">
        <v>614</v>
      </c>
      <c r="E2313" s="583" t="s">
        <v>1506</v>
      </c>
      <c r="F2313" s="381"/>
      <c r="G2313" s="127">
        <f t="shared" ref="G2313:J2314" si="757">G2314</f>
        <v>0</v>
      </c>
      <c r="H2313" s="127">
        <f t="shared" si="757"/>
        <v>0</v>
      </c>
      <c r="I2313" s="127">
        <f t="shared" si="757"/>
        <v>0</v>
      </c>
      <c r="J2313" s="127">
        <f t="shared" si="757"/>
        <v>0</v>
      </c>
      <c r="K2313" s="127">
        <f t="shared" si="754"/>
        <v>0</v>
      </c>
      <c r="L2313" s="127">
        <f t="shared" si="755"/>
        <v>0</v>
      </c>
      <c r="M2313" s="217"/>
      <c r="N2313" s="180"/>
      <c r="R2313" s="127">
        <f t="shared" si="756"/>
        <v>427</v>
      </c>
      <c r="S2313" s="127">
        <f t="shared" si="756"/>
        <v>0</v>
      </c>
      <c r="T2313" s="217"/>
      <c r="U2313" s="130"/>
      <c r="V2313" s="132"/>
      <c r="W2313" s="203"/>
      <c r="X2313" s="203"/>
    </row>
    <row r="2314" spans="1:24" ht="15" hidden="1" x14ac:dyDescent="0.2">
      <c r="A2314" s="592" t="s">
        <v>1513</v>
      </c>
      <c r="B2314" s="67" t="s">
        <v>970</v>
      </c>
      <c r="C2314" s="350" t="s">
        <v>28</v>
      </c>
      <c r="D2314" s="350" t="s">
        <v>614</v>
      </c>
      <c r="E2314" s="583" t="s">
        <v>1507</v>
      </c>
      <c r="F2314" s="381"/>
      <c r="G2314" s="127">
        <f t="shared" si="757"/>
        <v>0</v>
      </c>
      <c r="H2314" s="127">
        <f t="shared" si="757"/>
        <v>0</v>
      </c>
      <c r="I2314" s="127">
        <f t="shared" si="757"/>
        <v>0</v>
      </c>
      <c r="J2314" s="127">
        <f t="shared" si="757"/>
        <v>0</v>
      </c>
      <c r="K2314" s="127">
        <f t="shared" si="754"/>
        <v>0</v>
      </c>
      <c r="L2314" s="127">
        <f t="shared" si="755"/>
        <v>0</v>
      </c>
      <c r="M2314" s="217"/>
      <c r="N2314" s="180"/>
      <c r="R2314" s="127">
        <f t="shared" si="756"/>
        <v>427</v>
      </c>
      <c r="S2314" s="127">
        <f t="shared" si="756"/>
        <v>0</v>
      </c>
      <c r="T2314" s="217"/>
      <c r="U2314" s="130"/>
      <c r="V2314" s="132"/>
      <c r="W2314" s="203"/>
      <c r="X2314" s="203"/>
    </row>
    <row r="2315" spans="1:24" ht="15" hidden="1" x14ac:dyDescent="0.2">
      <c r="A2315" s="124" t="s">
        <v>1554</v>
      </c>
      <c r="B2315" s="68" t="s">
        <v>970</v>
      </c>
      <c r="C2315" s="351" t="s">
        <v>28</v>
      </c>
      <c r="D2315" s="351" t="s">
        <v>614</v>
      </c>
      <c r="E2315" s="512" t="s">
        <v>1507</v>
      </c>
      <c r="F2315" s="382">
        <v>350</v>
      </c>
      <c r="G2315" s="130">
        <v>0</v>
      </c>
      <c r="H2315" s="132"/>
      <c r="I2315" s="130">
        <v>0</v>
      </c>
      <c r="J2315" s="132"/>
      <c r="K2315" s="43">
        <f t="shared" si="754"/>
        <v>0</v>
      </c>
      <c r="L2315" s="43">
        <f t="shared" si="755"/>
        <v>0</v>
      </c>
      <c r="M2315" s="217"/>
      <c r="N2315" s="180"/>
      <c r="R2315" s="130">
        <v>427</v>
      </c>
      <c r="S2315" s="132"/>
      <c r="T2315" s="217"/>
      <c r="U2315" s="130"/>
      <c r="V2315" s="132"/>
      <c r="W2315" s="203"/>
      <c r="X2315" s="203"/>
    </row>
    <row r="2316" spans="1:24" ht="15" x14ac:dyDescent="0.2">
      <c r="A2316" s="741" t="s">
        <v>1515</v>
      </c>
      <c r="B2316" s="67" t="s">
        <v>970</v>
      </c>
      <c r="C2316" s="350" t="s">
        <v>28</v>
      </c>
      <c r="D2316" s="350" t="s">
        <v>614</v>
      </c>
      <c r="E2316" s="583" t="s">
        <v>1508</v>
      </c>
      <c r="F2316" s="381"/>
      <c r="G2316" s="127">
        <f t="shared" ref="G2316:J2317" si="758">G2317</f>
        <v>539.79999999999995</v>
      </c>
      <c r="H2316" s="127">
        <f t="shared" si="758"/>
        <v>0</v>
      </c>
      <c r="I2316" s="127">
        <f t="shared" si="758"/>
        <v>539.79999999999995</v>
      </c>
      <c r="J2316" s="127">
        <f t="shared" si="758"/>
        <v>0</v>
      </c>
      <c r="K2316" s="127">
        <f t="shared" si="754"/>
        <v>0</v>
      </c>
      <c r="L2316" s="127">
        <f t="shared" si="755"/>
        <v>0</v>
      </c>
      <c r="M2316" s="217"/>
      <c r="N2316" s="180"/>
      <c r="R2316" s="130"/>
      <c r="S2316" s="132"/>
      <c r="T2316" s="217"/>
      <c r="U2316" s="130"/>
      <c r="V2316" s="132"/>
      <c r="W2316" s="203"/>
      <c r="X2316" s="203"/>
    </row>
    <row r="2317" spans="1:24" ht="15" x14ac:dyDescent="0.2">
      <c r="A2317" s="741" t="s">
        <v>46</v>
      </c>
      <c r="B2317" s="67" t="s">
        <v>970</v>
      </c>
      <c r="C2317" s="350" t="s">
        <v>28</v>
      </c>
      <c r="D2317" s="350" t="s">
        <v>614</v>
      </c>
      <c r="E2317" s="583" t="s">
        <v>1900</v>
      </c>
      <c r="F2317" s="381"/>
      <c r="G2317" s="127">
        <f t="shared" si="758"/>
        <v>539.79999999999995</v>
      </c>
      <c r="H2317" s="127">
        <f t="shared" si="758"/>
        <v>0</v>
      </c>
      <c r="I2317" s="127">
        <f t="shared" si="758"/>
        <v>539.79999999999995</v>
      </c>
      <c r="J2317" s="127">
        <f t="shared" si="758"/>
        <v>0</v>
      </c>
      <c r="K2317" s="127">
        <f t="shared" si="754"/>
        <v>0</v>
      </c>
      <c r="L2317" s="127">
        <f t="shared" si="755"/>
        <v>0</v>
      </c>
      <c r="M2317" s="217"/>
      <c r="N2317" s="180"/>
      <c r="R2317" s="130"/>
      <c r="S2317" s="132"/>
      <c r="T2317" s="217"/>
      <c r="U2317" s="130"/>
      <c r="V2317" s="132"/>
      <c r="W2317" s="203"/>
      <c r="X2317" s="203"/>
    </row>
    <row r="2318" spans="1:24" ht="15" x14ac:dyDescent="0.2">
      <c r="A2318" s="744" t="s">
        <v>1140</v>
      </c>
      <c r="B2318" s="68" t="s">
        <v>970</v>
      </c>
      <c r="C2318" s="351" t="s">
        <v>28</v>
      </c>
      <c r="D2318" s="351" t="s">
        <v>614</v>
      </c>
      <c r="E2318" s="512" t="s">
        <v>1900</v>
      </c>
      <c r="F2318" s="382">
        <v>350</v>
      </c>
      <c r="G2318" s="130">
        <v>539.79999999999995</v>
      </c>
      <c r="H2318" s="132"/>
      <c r="I2318" s="130">
        <v>539.79999999999995</v>
      </c>
      <c r="J2318" s="132"/>
      <c r="K2318" s="43">
        <f t="shared" si="754"/>
        <v>0</v>
      </c>
      <c r="L2318" s="43">
        <f t="shared" si="755"/>
        <v>0</v>
      </c>
      <c r="M2318" s="217"/>
      <c r="N2318" s="180"/>
      <c r="R2318" s="130"/>
      <c r="S2318" s="132"/>
      <c r="T2318" s="217"/>
      <c r="U2318" s="130"/>
      <c r="V2318" s="132"/>
      <c r="W2318" s="203"/>
      <c r="X2318" s="203"/>
    </row>
    <row r="2319" spans="1:24" ht="15" x14ac:dyDescent="0.2">
      <c r="A2319" s="742" t="s">
        <v>1565</v>
      </c>
      <c r="B2319" s="67" t="s">
        <v>970</v>
      </c>
      <c r="C2319" s="350" t="s">
        <v>28</v>
      </c>
      <c r="D2319" s="350" t="s">
        <v>614</v>
      </c>
      <c r="E2319" s="381">
        <v>9990000000</v>
      </c>
      <c r="F2319" s="381"/>
      <c r="G2319" s="127">
        <f>G2320+G2322</f>
        <v>40</v>
      </c>
      <c r="H2319" s="127">
        <f>H2320+H2322</f>
        <v>0</v>
      </c>
      <c r="I2319" s="127">
        <f>I2320+I2322</f>
        <v>293.17399999999998</v>
      </c>
      <c r="J2319" s="127">
        <f>J2320+J2322</f>
        <v>0</v>
      </c>
      <c r="K2319" s="127">
        <f t="shared" si="754"/>
        <v>253.17399999999998</v>
      </c>
      <c r="L2319" s="127">
        <f t="shared" si="755"/>
        <v>0</v>
      </c>
      <c r="M2319" s="217"/>
      <c r="N2319" s="180"/>
      <c r="R2319" s="127">
        <f>R2320+R2322</f>
        <v>110</v>
      </c>
      <c r="S2319" s="127">
        <f>S2320+S2322</f>
        <v>0</v>
      </c>
      <c r="T2319" s="217"/>
      <c r="U2319" s="130"/>
      <c r="V2319" s="132"/>
      <c r="W2319" s="203"/>
      <c r="X2319" s="203"/>
    </row>
    <row r="2320" spans="1:24" ht="15" x14ac:dyDescent="0.2">
      <c r="A2320" s="742" t="s">
        <v>2008</v>
      </c>
      <c r="B2320" s="67" t="s">
        <v>970</v>
      </c>
      <c r="C2320" s="350" t="s">
        <v>28</v>
      </c>
      <c r="D2320" s="350" t="s">
        <v>614</v>
      </c>
      <c r="E2320" s="381">
        <v>9990012210</v>
      </c>
      <c r="F2320" s="381"/>
      <c r="G2320" s="127">
        <f>G2321</f>
        <v>0</v>
      </c>
      <c r="H2320" s="127">
        <f>H2321</f>
        <v>0</v>
      </c>
      <c r="I2320" s="127">
        <f>I2321</f>
        <v>253.17400000000001</v>
      </c>
      <c r="J2320" s="127">
        <f>J2321</f>
        <v>0</v>
      </c>
      <c r="K2320" s="127">
        <f t="shared" si="754"/>
        <v>253.17400000000001</v>
      </c>
      <c r="L2320" s="127">
        <f t="shared" si="755"/>
        <v>0</v>
      </c>
      <c r="M2320" s="217"/>
      <c r="N2320" s="180"/>
      <c r="R2320" s="127">
        <f>R2321</f>
        <v>50</v>
      </c>
      <c r="S2320" s="127">
        <f>S2321</f>
        <v>0</v>
      </c>
      <c r="T2320" s="217"/>
      <c r="U2320" s="130"/>
      <c r="V2320" s="132"/>
      <c r="W2320" s="203"/>
      <c r="X2320" s="203"/>
    </row>
    <row r="2321" spans="1:24" ht="15" x14ac:dyDescent="0.2">
      <c r="A2321" s="751" t="s">
        <v>1554</v>
      </c>
      <c r="B2321" s="600" t="s">
        <v>970</v>
      </c>
      <c r="C2321" s="601" t="s">
        <v>28</v>
      </c>
      <c r="D2321" s="601" t="s">
        <v>614</v>
      </c>
      <c r="E2321" s="602">
        <v>9990012210</v>
      </c>
      <c r="F2321" s="602">
        <v>350</v>
      </c>
      <c r="G2321" s="603"/>
      <c r="H2321" s="604"/>
      <c r="I2321" s="603">
        <v>253.17400000000001</v>
      </c>
      <c r="J2321" s="604"/>
      <c r="K2321" s="547">
        <f t="shared" si="754"/>
        <v>253.17400000000001</v>
      </c>
      <c r="L2321" s="547">
        <f t="shared" si="755"/>
        <v>0</v>
      </c>
      <c r="M2321" s="217"/>
      <c r="N2321" s="180"/>
      <c r="R2321" s="603">
        <v>50</v>
      </c>
      <c r="S2321" s="604"/>
      <c r="T2321" s="217"/>
      <c r="U2321" s="130"/>
      <c r="V2321" s="132"/>
      <c r="W2321" s="203"/>
      <c r="X2321" s="203"/>
    </row>
    <row r="2322" spans="1:24" ht="15" x14ac:dyDescent="0.2">
      <c r="A2322" s="742" t="s">
        <v>1566</v>
      </c>
      <c r="B2322" s="67" t="s">
        <v>970</v>
      </c>
      <c r="C2322" s="350" t="s">
        <v>28</v>
      </c>
      <c r="D2322" s="350" t="s">
        <v>614</v>
      </c>
      <c r="E2322" s="381">
        <v>9990086010</v>
      </c>
      <c r="F2322" s="381"/>
      <c r="G2322" s="127">
        <f>G2323</f>
        <v>40</v>
      </c>
      <c r="H2322" s="127">
        <f>H2323</f>
        <v>0</v>
      </c>
      <c r="I2322" s="127">
        <f>I2323</f>
        <v>40</v>
      </c>
      <c r="J2322" s="127">
        <f>J2323</f>
        <v>0</v>
      </c>
      <c r="K2322" s="127">
        <f t="shared" si="754"/>
        <v>0</v>
      </c>
      <c r="L2322" s="127">
        <f t="shared" si="755"/>
        <v>0</v>
      </c>
      <c r="M2322" s="217"/>
      <c r="N2322" s="180"/>
      <c r="R2322" s="127">
        <f>R2323</f>
        <v>60</v>
      </c>
      <c r="S2322" s="127">
        <f>S2323</f>
        <v>0</v>
      </c>
      <c r="T2322" s="217"/>
      <c r="U2322" s="130"/>
      <c r="V2322" s="132"/>
      <c r="W2322" s="203"/>
      <c r="X2322" s="203"/>
    </row>
    <row r="2323" spans="1:24" ht="15" x14ac:dyDescent="0.2">
      <c r="A2323" s="751" t="s">
        <v>1554</v>
      </c>
      <c r="B2323" s="600" t="s">
        <v>970</v>
      </c>
      <c r="C2323" s="601" t="s">
        <v>28</v>
      </c>
      <c r="D2323" s="601" t="s">
        <v>614</v>
      </c>
      <c r="E2323" s="602">
        <v>9990086010</v>
      </c>
      <c r="F2323" s="602">
        <v>350</v>
      </c>
      <c r="G2323" s="603">
        <v>40</v>
      </c>
      <c r="H2323" s="604"/>
      <c r="I2323" s="603">
        <v>40</v>
      </c>
      <c r="J2323" s="604"/>
      <c r="K2323" s="547">
        <f t="shared" si="754"/>
        <v>0</v>
      </c>
      <c r="L2323" s="547">
        <f t="shared" si="755"/>
        <v>0</v>
      </c>
      <c r="M2323" s="217"/>
      <c r="N2323" s="180"/>
      <c r="R2323" s="603">
        <v>60</v>
      </c>
      <c r="S2323" s="604"/>
      <c r="T2323" s="217"/>
      <c r="U2323" s="130"/>
      <c r="V2323" s="132"/>
      <c r="W2323" s="203"/>
      <c r="X2323" s="203"/>
    </row>
    <row r="2324" spans="1:24" ht="15" x14ac:dyDescent="0.2">
      <c r="A2324" s="742" t="s">
        <v>1166</v>
      </c>
      <c r="B2324" s="67" t="s">
        <v>970</v>
      </c>
      <c r="C2324" s="350" t="s">
        <v>28</v>
      </c>
      <c r="D2324" s="350" t="s">
        <v>606</v>
      </c>
      <c r="E2324" s="381"/>
      <c r="F2324" s="381"/>
      <c r="G2324" s="127">
        <f t="shared" ref="G2324:J2325" si="759">G2325</f>
        <v>15290.002780000001</v>
      </c>
      <c r="H2324" s="127">
        <f t="shared" si="759"/>
        <v>147.35</v>
      </c>
      <c r="I2324" s="127">
        <f t="shared" si="759"/>
        <v>21715.844779999999</v>
      </c>
      <c r="J2324" s="127">
        <f t="shared" si="759"/>
        <v>147.35</v>
      </c>
      <c r="K2324" s="127">
        <f t="shared" si="754"/>
        <v>6425.8419999999987</v>
      </c>
      <c r="L2324" s="127">
        <f t="shared" si="755"/>
        <v>0</v>
      </c>
      <c r="M2324" s="217">
        <f t="shared" si="744"/>
        <v>0</v>
      </c>
      <c r="N2324" s="180"/>
      <c r="R2324" s="127">
        <f>R2325</f>
        <v>14737.02486</v>
      </c>
      <c r="S2324" s="127">
        <f>S2325</f>
        <v>2303.9213199999999</v>
      </c>
      <c r="T2324" s="217"/>
      <c r="U2324" s="127" t="e">
        <f t="shared" ref="U2324:V2326" si="760">U2325</f>
        <v>#REF!</v>
      </c>
      <c r="V2324" s="127" t="e">
        <f t="shared" si="760"/>
        <v>#REF!</v>
      </c>
      <c r="W2324" s="203">
        <f t="shared" si="747"/>
        <v>-6425.8419999999987</v>
      </c>
      <c r="X2324" s="203">
        <f t="shared" si="748"/>
        <v>0</v>
      </c>
    </row>
    <row r="2325" spans="1:24" ht="17.25" customHeight="1" x14ac:dyDescent="0.2">
      <c r="A2325" s="742" t="s">
        <v>341</v>
      </c>
      <c r="B2325" s="67" t="s">
        <v>970</v>
      </c>
      <c r="C2325" s="350" t="s">
        <v>28</v>
      </c>
      <c r="D2325" s="350" t="s">
        <v>606</v>
      </c>
      <c r="E2325" s="381" t="s">
        <v>342</v>
      </c>
      <c r="F2325" s="381"/>
      <c r="G2325" s="127">
        <f t="shared" si="759"/>
        <v>15290.002780000001</v>
      </c>
      <c r="H2325" s="127">
        <f t="shared" si="759"/>
        <v>147.35</v>
      </c>
      <c r="I2325" s="127">
        <f t="shared" si="759"/>
        <v>21715.844779999999</v>
      </c>
      <c r="J2325" s="127">
        <f t="shared" si="759"/>
        <v>147.35</v>
      </c>
      <c r="K2325" s="127">
        <f t="shared" si="754"/>
        <v>6425.8419999999987</v>
      </c>
      <c r="L2325" s="127">
        <f t="shared" si="755"/>
        <v>0</v>
      </c>
      <c r="M2325" s="217">
        <f t="shared" si="744"/>
        <v>0</v>
      </c>
      <c r="N2325" s="180"/>
      <c r="R2325" s="127">
        <f>R2326</f>
        <v>14737.02486</v>
      </c>
      <c r="S2325" s="127">
        <f>S2326</f>
        <v>2303.9213199999999</v>
      </c>
      <c r="T2325" s="217"/>
      <c r="U2325" s="127" t="e">
        <f t="shared" si="760"/>
        <v>#REF!</v>
      </c>
      <c r="V2325" s="127" t="e">
        <f t="shared" si="760"/>
        <v>#REF!</v>
      </c>
      <c r="W2325" s="203">
        <f t="shared" si="747"/>
        <v>-6425.8419999999987</v>
      </c>
      <c r="X2325" s="203">
        <f t="shared" si="748"/>
        <v>0</v>
      </c>
    </row>
    <row r="2326" spans="1:24" ht="15" x14ac:dyDescent="0.2">
      <c r="A2326" s="742" t="s">
        <v>1317</v>
      </c>
      <c r="B2326" s="67" t="s">
        <v>970</v>
      </c>
      <c r="C2326" s="350" t="s">
        <v>28</v>
      </c>
      <c r="D2326" s="350" t="s">
        <v>606</v>
      </c>
      <c r="E2326" s="381" t="s">
        <v>344</v>
      </c>
      <c r="F2326" s="381"/>
      <c r="G2326" s="127">
        <f>G2327+G2336</f>
        <v>15290.002780000001</v>
      </c>
      <c r="H2326" s="127">
        <f>H2327+H2336</f>
        <v>147.35</v>
      </c>
      <c r="I2326" s="127">
        <f>I2327+I2336</f>
        <v>21715.844779999999</v>
      </c>
      <c r="J2326" s="127">
        <f>J2327+J2336</f>
        <v>147.35</v>
      </c>
      <c r="K2326" s="127">
        <f t="shared" si="754"/>
        <v>6425.8419999999987</v>
      </c>
      <c r="L2326" s="127">
        <f t="shared" si="755"/>
        <v>0</v>
      </c>
      <c r="M2326" s="217">
        <f t="shared" si="744"/>
        <v>0</v>
      </c>
      <c r="N2326" s="180"/>
      <c r="R2326" s="127">
        <f>R2327+R2336</f>
        <v>14737.02486</v>
      </c>
      <c r="S2326" s="127">
        <f>S2327+S2336</f>
        <v>2303.9213199999999</v>
      </c>
      <c r="T2326" s="217"/>
      <c r="U2326" s="127" t="e">
        <f t="shared" si="760"/>
        <v>#REF!</v>
      </c>
      <c r="V2326" s="127" t="e">
        <f t="shared" si="760"/>
        <v>#REF!</v>
      </c>
      <c r="W2326" s="203">
        <f>G2326-I2326</f>
        <v>-6425.8419999999987</v>
      </c>
      <c r="X2326" s="203">
        <f>K2326+W2326</f>
        <v>0</v>
      </c>
    </row>
    <row r="2327" spans="1:24" ht="15" x14ac:dyDescent="0.2">
      <c r="A2327" s="742" t="s">
        <v>1333</v>
      </c>
      <c r="B2327" s="67" t="s">
        <v>970</v>
      </c>
      <c r="C2327" s="350" t="s">
        <v>28</v>
      </c>
      <c r="D2327" s="350" t="s">
        <v>606</v>
      </c>
      <c r="E2327" s="381">
        <v>7510700000</v>
      </c>
      <c r="F2327" s="381"/>
      <c r="G2327" s="127">
        <f>G2328+G2334+G2332+G2330</f>
        <v>15130.044</v>
      </c>
      <c r="H2327" s="127">
        <f>H2328+H2334+H2332+H2330</f>
        <v>0</v>
      </c>
      <c r="I2327" s="127">
        <f>I2328+I2334+I2332+I2330</f>
        <v>21555.885999999999</v>
      </c>
      <c r="J2327" s="127">
        <f>J2328+J2334+J2332+J2330</f>
        <v>0</v>
      </c>
      <c r="K2327" s="127">
        <f t="shared" si="754"/>
        <v>6425.8419999999987</v>
      </c>
      <c r="L2327" s="127">
        <f t="shared" si="755"/>
        <v>0</v>
      </c>
      <c r="M2327" s="217">
        <f t="shared" si="744"/>
        <v>0</v>
      </c>
      <c r="N2327" s="180"/>
      <c r="R2327" s="127">
        <f>R2328+R2334+R2332+R2330</f>
        <v>12037.77486</v>
      </c>
      <c r="S2327" s="127">
        <f>S2328+S2334+S2332+S2330</f>
        <v>0</v>
      </c>
      <c r="T2327" s="217"/>
      <c r="U2327" s="127" t="e">
        <f>U2328+U2334+#REF!+U2330</f>
        <v>#REF!</v>
      </c>
      <c r="V2327" s="127" t="e">
        <f>V2328+V2334+#REF!+V2330</f>
        <v>#REF!</v>
      </c>
      <c r="W2327" s="203">
        <f>G2327-I2327</f>
        <v>-6425.8419999999987</v>
      </c>
      <c r="X2327" s="203">
        <f>K2327+W2327</f>
        <v>0</v>
      </c>
    </row>
    <row r="2328" spans="1:24" ht="15" x14ac:dyDescent="0.2">
      <c r="A2328" s="742" t="s">
        <v>34</v>
      </c>
      <c r="B2328" s="67" t="s">
        <v>970</v>
      </c>
      <c r="C2328" s="350" t="s">
        <v>28</v>
      </c>
      <c r="D2328" s="350" t="s">
        <v>606</v>
      </c>
      <c r="E2328" s="381">
        <v>7510713150</v>
      </c>
      <c r="F2328" s="374"/>
      <c r="G2328" s="127">
        <f>G2329</f>
        <v>2197.366</v>
      </c>
      <c r="H2328" s="42">
        <f>H2329</f>
        <v>0</v>
      </c>
      <c r="I2328" s="127">
        <f>I2329</f>
        <v>2197.366</v>
      </c>
      <c r="J2328" s="42">
        <f>J2329</f>
        <v>0</v>
      </c>
      <c r="K2328" s="42">
        <f t="shared" si="754"/>
        <v>0</v>
      </c>
      <c r="L2328" s="42">
        <f t="shared" si="755"/>
        <v>0</v>
      </c>
      <c r="M2328" s="217">
        <f t="shared" si="744"/>
        <v>0</v>
      </c>
      <c r="N2328" s="180"/>
      <c r="R2328" s="127">
        <f>R2329</f>
        <v>2786.0278600000001</v>
      </c>
      <c r="S2328" s="42">
        <f>S2329</f>
        <v>0</v>
      </c>
      <c r="T2328" s="217"/>
      <c r="U2328" s="127">
        <f>U2329</f>
        <v>5342.1622699999998</v>
      </c>
      <c r="V2328" s="42">
        <f>V2329</f>
        <v>0</v>
      </c>
      <c r="W2328" s="203">
        <f>G2328-I2328</f>
        <v>0</v>
      </c>
      <c r="X2328" s="203">
        <f>K2328+W2328</f>
        <v>0</v>
      </c>
    </row>
    <row r="2329" spans="1:24" ht="25.5" x14ac:dyDescent="0.2">
      <c r="A2329" s="739" t="s">
        <v>648</v>
      </c>
      <c r="B2329" s="68" t="s">
        <v>970</v>
      </c>
      <c r="C2329" s="351" t="s">
        <v>28</v>
      </c>
      <c r="D2329" s="351" t="s">
        <v>606</v>
      </c>
      <c r="E2329" s="382">
        <v>7510713150</v>
      </c>
      <c r="F2329" s="382" t="s">
        <v>127</v>
      </c>
      <c r="G2329" s="130">
        <v>2197.366</v>
      </c>
      <c r="H2329" s="132"/>
      <c r="I2329" s="130">
        <v>2197.366</v>
      </c>
      <c r="J2329" s="132"/>
      <c r="K2329" s="43">
        <f t="shared" si="754"/>
        <v>0</v>
      </c>
      <c r="L2329" s="43">
        <f t="shared" si="755"/>
        <v>0</v>
      </c>
      <c r="M2329" s="217">
        <f t="shared" si="744"/>
        <v>0</v>
      </c>
      <c r="N2329" s="180"/>
      <c r="R2329" s="130">
        <v>2786.0278600000001</v>
      </c>
      <c r="S2329" s="132"/>
      <c r="T2329" s="217"/>
      <c r="U2329" s="130">
        <v>5342.1622699999998</v>
      </c>
      <c r="V2329" s="132">
        <v>0</v>
      </c>
      <c r="W2329" s="203">
        <f>G2329-I2329</f>
        <v>0</v>
      </c>
      <c r="X2329" s="203">
        <f>K2329+W2329</f>
        <v>0</v>
      </c>
    </row>
    <row r="2330" spans="1:24" ht="27.75" customHeight="1" x14ac:dyDescent="0.2">
      <c r="A2330" s="742" t="s">
        <v>1247</v>
      </c>
      <c r="B2330" s="67" t="s">
        <v>970</v>
      </c>
      <c r="C2330" s="350" t="s">
        <v>28</v>
      </c>
      <c r="D2330" s="350" t="s">
        <v>606</v>
      </c>
      <c r="E2330" s="381" t="s">
        <v>1386</v>
      </c>
      <c r="F2330" s="381"/>
      <c r="G2330" s="127">
        <f>G2331</f>
        <v>4083.078</v>
      </c>
      <c r="H2330" s="127">
        <f>H2331</f>
        <v>0</v>
      </c>
      <c r="I2330" s="127">
        <f>I2331</f>
        <v>4083.078</v>
      </c>
      <c r="J2330" s="127">
        <f>J2331</f>
        <v>0</v>
      </c>
      <c r="K2330" s="127">
        <f t="shared" si="754"/>
        <v>0</v>
      </c>
      <c r="L2330" s="127">
        <f t="shared" si="755"/>
        <v>0</v>
      </c>
      <c r="M2330" s="217">
        <f t="shared" si="744"/>
        <v>0</v>
      </c>
      <c r="N2330" s="180"/>
      <c r="R2330" s="127">
        <f>R2331</f>
        <v>304.3</v>
      </c>
      <c r="S2330" s="127">
        <f>S2331</f>
        <v>0</v>
      </c>
      <c r="T2330" s="217"/>
      <c r="U2330" s="127">
        <f>U2331</f>
        <v>58.119</v>
      </c>
      <c r="V2330" s="127">
        <f>V2331</f>
        <v>0</v>
      </c>
      <c r="W2330" s="203"/>
      <c r="X2330" s="203"/>
    </row>
    <row r="2331" spans="1:24" ht="25.5" x14ac:dyDescent="0.2">
      <c r="A2331" s="739" t="s">
        <v>648</v>
      </c>
      <c r="B2331" s="68" t="s">
        <v>970</v>
      </c>
      <c r="C2331" s="351" t="s">
        <v>28</v>
      </c>
      <c r="D2331" s="351" t="s">
        <v>606</v>
      </c>
      <c r="E2331" s="382" t="s">
        <v>1386</v>
      </c>
      <c r="F2331" s="382" t="s">
        <v>127</v>
      </c>
      <c r="G2331" s="130">
        <v>4083.078</v>
      </c>
      <c r="H2331" s="132"/>
      <c r="I2331" s="130">
        <v>4083.078</v>
      </c>
      <c r="J2331" s="132"/>
      <c r="K2331" s="43">
        <f t="shared" si="754"/>
        <v>0</v>
      </c>
      <c r="L2331" s="43">
        <f t="shared" si="755"/>
        <v>0</v>
      </c>
      <c r="M2331" s="217">
        <f t="shared" si="744"/>
        <v>0</v>
      </c>
      <c r="N2331" s="180"/>
      <c r="R2331" s="130">
        <v>304.3</v>
      </c>
      <c r="S2331" s="132"/>
      <c r="T2331" s="217"/>
      <c r="U2331" s="130">
        <v>58.119</v>
      </c>
      <c r="V2331" s="132">
        <v>0</v>
      </c>
      <c r="W2331" s="203"/>
      <c r="X2331" s="203"/>
    </row>
    <row r="2332" spans="1:24" ht="25.5" x14ac:dyDescent="0.2">
      <c r="A2332" s="742" t="s">
        <v>2004</v>
      </c>
      <c r="B2332" s="67" t="s">
        <v>970</v>
      </c>
      <c r="C2332" s="350" t="s">
        <v>28</v>
      </c>
      <c r="D2332" s="350" t="s">
        <v>606</v>
      </c>
      <c r="E2332" s="583" t="s">
        <v>2039</v>
      </c>
      <c r="F2332" s="381"/>
      <c r="G2332" s="127">
        <f>G2333</f>
        <v>0</v>
      </c>
      <c r="H2332" s="127">
        <f>H2333</f>
        <v>0</v>
      </c>
      <c r="I2332" s="127">
        <f>I2333</f>
        <v>4597.1419999999998</v>
      </c>
      <c r="J2332" s="127">
        <f>J2333</f>
        <v>0</v>
      </c>
      <c r="K2332" s="42">
        <f t="shared" si="754"/>
        <v>4597.1419999999998</v>
      </c>
      <c r="L2332" s="42">
        <f t="shared" si="755"/>
        <v>0</v>
      </c>
      <c r="M2332" s="217"/>
      <c r="N2332" s="180"/>
      <c r="R2332" s="127">
        <f>R2333</f>
        <v>3657.4470000000001</v>
      </c>
      <c r="S2332" s="127">
        <f>S2333</f>
        <v>0</v>
      </c>
      <c r="T2332" s="217"/>
      <c r="U2332" s="130"/>
      <c r="V2332" s="132"/>
      <c r="W2332" s="203"/>
      <c r="X2332" s="203"/>
    </row>
    <row r="2333" spans="1:24" ht="25.5" x14ac:dyDescent="0.2">
      <c r="A2333" s="739" t="s">
        <v>648</v>
      </c>
      <c r="B2333" s="68" t="s">
        <v>970</v>
      </c>
      <c r="C2333" s="351" t="s">
        <v>28</v>
      </c>
      <c r="D2333" s="351" t="s">
        <v>606</v>
      </c>
      <c r="E2333" s="512" t="s">
        <v>2039</v>
      </c>
      <c r="F2333" s="382" t="s">
        <v>127</v>
      </c>
      <c r="G2333" s="130"/>
      <c r="H2333" s="132"/>
      <c r="I2333" s="130">
        <v>4597.1419999999998</v>
      </c>
      <c r="J2333" s="132"/>
      <c r="K2333" s="43">
        <f t="shared" si="754"/>
        <v>4597.1419999999998</v>
      </c>
      <c r="L2333" s="43">
        <f t="shared" si="755"/>
        <v>0</v>
      </c>
      <c r="M2333" s="217"/>
      <c r="N2333" s="180"/>
      <c r="R2333" s="130">
        <v>3657.4470000000001</v>
      </c>
      <c r="S2333" s="132"/>
      <c r="T2333" s="217"/>
      <c r="U2333" s="130"/>
      <c r="V2333" s="132"/>
      <c r="W2333" s="203"/>
      <c r="X2333" s="203"/>
    </row>
    <row r="2334" spans="1:24" ht="15.75" customHeight="1" x14ac:dyDescent="0.2">
      <c r="A2334" s="742" t="s">
        <v>1103</v>
      </c>
      <c r="B2334" s="67" t="s">
        <v>970</v>
      </c>
      <c r="C2334" s="350" t="s">
        <v>28</v>
      </c>
      <c r="D2334" s="350" t="s">
        <v>606</v>
      </c>
      <c r="E2334" s="583" t="s">
        <v>1334</v>
      </c>
      <c r="F2334" s="381"/>
      <c r="G2334" s="127">
        <f>G2335</f>
        <v>8849.6</v>
      </c>
      <c r="H2334" s="127">
        <f>H2335</f>
        <v>0</v>
      </c>
      <c r="I2334" s="127">
        <f>I2335</f>
        <v>10678.3</v>
      </c>
      <c r="J2334" s="127">
        <f>J2335</f>
        <v>0</v>
      </c>
      <c r="K2334" s="127">
        <f t="shared" si="754"/>
        <v>1828.6999999999989</v>
      </c>
      <c r="L2334" s="127">
        <f t="shared" si="755"/>
        <v>0</v>
      </c>
      <c r="M2334" s="217">
        <f t="shared" si="744"/>
        <v>0</v>
      </c>
      <c r="N2334" s="180"/>
      <c r="R2334" s="127">
        <f>R2335</f>
        <v>5290</v>
      </c>
      <c r="S2334" s="127">
        <f>S2335</f>
        <v>0</v>
      </c>
      <c r="T2334" s="217"/>
      <c r="U2334" s="127">
        <f>U2335</f>
        <v>4967.1000000000004</v>
      </c>
      <c r="V2334" s="127">
        <f>V2335</f>
        <v>0</v>
      </c>
      <c r="W2334" s="203">
        <f>G2334-I2334</f>
        <v>-1828.6999999999989</v>
      </c>
      <c r="X2334" s="203">
        <f>K2334+W2334</f>
        <v>0</v>
      </c>
    </row>
    <row r="2335" spans="1:24" ht="25.5" x14ac:dyDescent="0.2">
      <c r="A2335" s="739" t="s">
        <v>648</v>
      </c>
      <c r="B2335" s="68" t="s">
        <v>970</v>
      </c>
      <c r="C2335" s="351" t="s">
        <v>28</v>
      </c>
      <c r="D2335" s="351" t="s">
        <v>606</v>
      </c>
      <c r="E2335" s="382" t="s">
        <v>1334</v>
      </c>
      <c r="F2335" s="382" t="s">
        <v>127</v>
      </c>
      <c r="G2335" s="130">
        <v>8849.6</v>
      </c>
      <c r="H2335" s="132"/>
      <c r="I2335" s="130">
        <v>10678.3</v>
      </c>
      <c r="J2335" s="132"/>
      <c r="K2335" s="43">
        <f t="shared" si="754"/>
        <v>1828.6999999999989</v>
      </c>
      <c r="L2335" s="43">
        <f t="shared" si="755"/>
        <v>0</v>
      </c>
      <c r="M2335" s="217">
        <f t="shared" si="744"/>
        <v>0</v>
      </c>
      <c r="N2335" s="180"/>
      <c r="R2335" s="130">
        <v>5290</v>
      </c>
      <c r="S2335" s="132"/>
      <c r="T2335" s="217"/>
      <c r="U2335" s="130">
        <v>4967.1000000000004</v>
      </c>
      <c r="V2335" s="132">
        <v>0</v>
      </c>
      <c r="W2335" s="203">
        <f>G2335-I2335</f>
        <v>-1828.6999999999989</v>
      </c>
      <c r="X2335" s="203">
        <f>K2335+W2335</f>
        <v>0</v>
      </c>
    </row>
    <row r="2336" spans="1:24" ht="13.5" customHeight="1" x14ac:dyDescent="0.2">
      <c r="A2336" s="742" t="s">
        <v>1567</v>
      </c>
      <c r="B2336" s="67" t="s">
        <v>970</v>
      </c>
      <c r="C2336" s="350" t="s">
        <v>28</v>
      </c>
      <c r="D2336" s="350" t="s">
        <v>606</v>
      </c>
      <c r="E2336" s="583" t="s">
        <v>1570</v>
      </c>
      <c r="F2336" s="381"/>
      <c r="G2336" s="127">
        <f t="shared" ref="G2336:J2337" si="761">G2337</f>
        <v>159.95877999999999</v>
      </c>
      <c r="H2336" s="127">
        <f t="shared" si="761"/>
        <v>147.35</v>
      </c>
      <c r="I2336" s="127">
        <f t="shared" si="761"/>
        <v>159.95877999999999</v>
      </c>
      <c r="J2336" s="127">
        <f t="shared" si="761"/>
        <v>147.35</v>
      </c>
      <c r="K2336" s="127">
        <f t="shared" si="754"/>
        <v>0</v>
      </c>
      <c r="L2336" s="127">
        <f t="shared" si="755"/>
        <v>0</v>
      </c>
      <c r="M2336" s="217"/>
      <c r="N2336" s="180"/>
      <c r="R2336" s="127">
        <f>R2337</f>
        <v>2699.25</v>
      </c>
      <c r="S2336" s="127">
        <f>S2337</f>
        <v>2303.9213199999999</v>
      </c>
      <c r="T2336" s="217"/>
      <c r="U2336" s="130"/>
      <c r="V2336" s="132"/>
      <c r="W2336" s="203"/>
      <c r="X2336" s="203"/>
    </row>
    <row r="2337" spans="1:24" ht="18" customHeight="1" x14ac:dyDescent="0.2">
      <c r="A2337" s="742" t="s">
        <v>1568</v>
      </c>
      <c r="B2337" s="67" t="s">
        <v>970</v>
      </c>
      <c r="C2337" s="350" t="s">
        <v>28</v>
      </c>
      <c r="D2337" s="350" t="s">
        <v>606</v>
      </c>
      <c r="E2337" s="381" t="s">
        <v>1569</v>
      </c>
      <c r="F2337" s="381"/>
      <c r="G2337" s="127">
        <f t="shared" si="761"/>
        <v>159.95877999999999</v>
      </c>
      <c r="H2337" s="127">
        <f t="shared" si="761"/>
        <v>147.35</v>
      </c>
      <c r="I2337" s="127">
        <f t="shared" si="761"/>
        <v>159.95877999999999</v>
      </c>
      <c r="J2337" s="127">
        <f t="shared" si="761"/>
        <v>147.35</v>
      </c>
      <c r="K2337" s="127">
        <f t="shared" si="754"/>
        <v>0</v>
      </c>
      <c r="L2337" s="127">
        <f t="shared" si="755"/>
        <v>0</v>
      </c>
      <c r="M2337" s="217"/>
      <c r="N2337" s="180"/>
      <c r="R2337" s="127">
        <f>R2338</f>
        <v>2699.25</v>
      </c>
      <c r="S2337" s="127">
        <f>S2338</f>
        <v>2303.9213199999999</v>
      </c>
      <c r="T2337" s="217"/>
      <c r="U2337" s="130"/>
      <c r="V2337" s="132"/>
      <c r="W2337" s="203"/>
      <c r="X2337" s="203"/>
    </row>
    <row r="2338" spans="1:24" ht="12" customHeight="1" x14ac:dyDescent="0.2">
      <c r="A2338" s="739" t="s">
        <v>1542</v>
      </c>
      <c r="B2338" s="68" t="s">
        <v>970</v>
      </c>
      <c r="C2338" s="351" t="s">
        <v>28</v>
      </c>
      <c r="D2338" s="351" t="s">
        <v>606</v>
      </c>
      <c r="E2338" s="382" t="s">
        <v>1569</v>
      </c>
      <c r="F2338" s="382">
        <v>612</v>
      </c>
      <c r="G2338" s="130">
        <v>159.95877999999999</v>
      </c>
      <c r="H2338" s="656">
        <v>147.35</v>
      </c>
      <c r="I2338" s="130">
        <v>159.95877999999999</v>
      </c>
      <c r="J2338" s="656">
        <v>147.35</v>
      </c>
      <c r="K2338" s="43">
        <f t="shared" si="754"/>
        <v>0</v>
      </c>
      <c r="L2338" s="43">
        <f t="shared" si="755"/>
        <v>0</v>
      </c>
      <c r="M2338" s="217"/>
      <c r="N2338" s="180"/>
      <c r="R2338" s="130">
        <v>2699.25</v>
      </c>
      <c r="S2338" s="132">
        <v>2303.9213199999999</v>
      </c>
      <c r="T2338" s="217"/>
      <c r="U2338" s="130"/>
      <c r="V2338" s="132"/>
      <c r="W2338" s="203"/>
      <c r="X2338" s="203"/>
    </row>
    <row r="2339" spans="1:24" ht="15" x14ac:dyDescent="0.2">
      <c r="A2339" s="742" t="s">
        <v>627</v>
      </c>
      <c r="B2339" s="67" t="s">
        <v>970</v>
      </c>
      <c r="C2339" s="350" t="s">
        <v>28</v>
      </c>
      <c r="D2339" s="350" t="s">
        <v>609</v>
      </c>
      <c r="E2339" s="381"/>
      <c r="F2339" s="381"/>
      <c r="G2339" s="127">
        <f>G2340</f>
        <v>1469.2267400000001</v>
      </c>
      <c r="H2339" s="127">
        <f>H2340</f>
        <v>0</v>
      </c>
      <c r="I2339" s="127">
        <f>I2340</f>
        <v>2211.59202</v>
      </c>
      <c r="J2339" s="127">
        <f>J2340</f>
        <v>40</v>
      </c>
      <c r="K2339" s="127">
        <f t="shared" si="754"/>
        <v>742.36527999999998</v>
      </c>
      <c r="L2339" s="127">
        <f t="shared" si="755"/>
        <v>40</v>
      </c>
      <c r="M2339" s="217">
        <f t="shared" si="744"/>
        <v>0</v>
      </c>
      <c r="N2339" s="180"/>
      <c r="R2339" s="127">
        <f>R2340</f>
        <v>1647.6907799999999</v>
      </c>
      <c r="S2339" s="127">
        <f>S2340</f>
        <v>0</v>
      </c>
      <c r="T2339" s="217"/>
      <c r="U2339" s="127">
        <f>U2340</f>
        <v>1582.4364399999999</v>
      </c>
      <c r="V2339" s="127">
        <f>V2340</f>
        <v>0</v>
      </c>
      <c r="W2339" s="203">
        <f>G2339-I2339</f>
        <v>-742.36527999999998</v>
      </c>
      <c r="X2339" s="203">
        <f>K2339+W2339</f>
        <v>0</v>
      </c>
    </row>
    <row r="2340" spans="1:24" ht="15" x14ac:dyDescent="0.2">
      <c r="A2340" s="742" t="s">
        <v>65</v>
      </c>
      <c r="B2340" s="67" t="s">
        <v>970</v>
      </c>
      <c r="C2340" s="347" t="s">
        <v>28</v>
      </c>
      <c r="D2340" s="347" t="s">
        <v>609</v>
      </c>
      <c r="E2340" s="374" t="s">
        <v>312</v>
      </c>
      <c r="F2340" s="381"/>
      <c r="G2340" s="127">
        <f t="shared" ref="G2340:L2340" si="762">G2346+G2356+G2344+G2353+G2341</f>
        <v>1469.2267400000001</v>
      </c>
      <c r="H2340" s="127">
        <f t="shared" si="762"/>
        <v>0</v>
      </c>
      <c r="I2340" s="127">
        <f t="shared" si="762"/>
        <v>2211.59202</v>
      </c>
      <c r="J2340" s="127">
        <f t="shared" si="762"/>
        <v>40</v>
      </c>
      <c r="K2340" s="127">
        <f t="shared" si="762"/>
        <v>742.3652800000001</v>
      </c>
      <c r="L2340" s="127">
        <f t="shared" si="762"/>
        <v>40</v>
      </c>
      <c r="M2340" s="217">
        <f t="shared" si="744"/>
        <v>0</v>
      </c>
      <c r="N2340" s="180"/>
      <c r="R2340" s="127">
        <f>R2346+R2356+R2344</f>
        <v>1647.6907799999999</v>
      </c>
      <c r="S2340" s="127">
        <f>S2346+S2356+S2344</f>
        <v>0</v>
      </c>
      <c r="T2340" s="217"/>
      <c r="U2340" s="127">
        <f>U2346+U2356</f>
        <v>1582.4364399999999</v>
      </c>
      <c r="V2340" s="127">
        <f>V2346+V2356</f>
        <v>0</v>
      </c>
      <c r="W2340" s="203">
        <f>G2340-I2340</f>
        <v>-742.36527999999998</v>
      </c>
      <c r="X2340" s="203">
        <f>K2340+W2340</f>
        <v>0</v>
      </c>
    </row>
    <row r="2341" spans="1:24" ht="15" x14ac:dyDescent="0.2">
      <c r="A2341" s="742" t="s">
        <v>2002</v>
      </c>
      <c r="B2341" s="67" t="s">
        <v>970</v>
      </c>
      <c r="C2341" s="347" t="s">
        <v>28</v>
      </c>
      <c r="D2341" s="347" t="s">
        <v>614</v>
      </c>
      <c r="E2341" s="374">
        <v>9990055493</v>
      </c>
      <c r="F2341" s="381"/>
      <c r="G2341" s="127">
        <f>G2342+G2343</f>
        <v>0</v>
      </c>
      <c r="H2341" s="127">
        <f t="shared" ref="H2341:L2341" si="763">H2342+H2343</f>
        <v>0</v>
      </c>
      <c r="I2341" s="127">
        <f t="shared" si="763"/>
        <v>40</v>
      </c>
      <c r="J2341" s="127">
        <f t="shared" si="763"/>
        <v>40</v>
      </c>
      <c r="K2341" s="127">
        <f t="shared" si="763"/>
        <v>40</v>
      </c>
      <c r="L2341" s="127">
        <f t="shared" si="763"/>
        <v>40</v>
      </c>
      <c r="M2341" s="217"/>
      <c r="N2341" s="180">
        <v>60</v>
      </c>
      <c r="O2341" s="167">
        <v>0</v>
      </c>
      <c r="R2341" s="127"/>
      <c r="S2341" s="127"/>
      <c r="T2341" s="217"/>
      <c r="U2341" s="127"/>
      <c r="V2341" s="127"/>
      <c r="W2341" s="203"/>
      <c r="X2341" s="203"/>
    </row>
    <row r="2342" spans="1:24" s="124" customFormat="1" ht="15.75" customHeight="1" x14ac:dyDescent="0.2">
      <c r="A2342" s="739" t="s">
        <v>1576</v>
      </c>
      <c r="B2342" s="124" t="s">
        <v>970</v>
      </c>
      <c r="C2342" s="124" t="s">
        <v>28</v>
      </c>
      <c r="D2342" s="124" t="s">
        <v>614</v>
      </c>
      <c r="E2342" s="378">
        <v>9990055493</v>
      </c>
      <c r="F2342" s="378">
        <v>121</v>
      </c>
      <c r="G2342" s="288">
        <v>0</v>
      </c>
      <c r="H2342" s="288"/>
      <c r="I2342" s="288">
        <v>30.721969999999999</v>
      </c>
      <c r="J2342" s="288">
        <v>30.721969999999999</v>
      </c>
      <c r="K2342" s="43">
        <f>I2342-G2342</f>
        <v>30.721969999999999</v>
      </c>
      <c r="L2342" s="43">
        <f>J2342-H2342</f>
        <v>30.721969999999999</v>
      </c>
      <c r="N2342" s="124">
        <v>60</v>
      </c>
    </row>
    <row r="2343" spans="1:24" s="722" customFormat="1" ht="21.75" customHeight="1" x14ac:dyDescent="0.2">
      <c r="A2343" s="739" t="s">
        <v>1578</v>
      </c>
      <c r="B2343" s="124" t="s">
        <v>970</v>
      </c>
      <c r="C2343" s="124" t="s">
        <v>28</v>
      </c>
      <c r="D2343" s="124" t="s">
        <v>614</v>
      </c>
      <c r="E2343" s="378">
        <v>9990055493</v>
      </c>
      <c r="F2343" s="378">
        <v>129</v>
      </c>
      <c r="G2343" s="288"/>
      <c r="H2343" s="288"/>
      <c r="I2343" s="288">
        <v>9.2780299999999993</v>
      </c>
      <c r="J2343" s="288">
        <v>9.2780299999999993</v>
      </c>
      <c r="K2343" s="43">
        <f>I2343-G2343</f>
        <v>9.2780299999999993</v>
      </c>
      <c r="L2343" s="43">
        <f>J2343-H2343</f>
        <v>9.2780299999999993</v>
      </c>
      <c r="N2343" s="124"/>
      <c r="R2343" s="124"/>
      <c r="S2343" s="124"/>
      <c r="U2343" s="124"/>
      <c r="V2343" s="124"/>
    </row>
    <row r="2344" spans="1:24" ht="17.25" customHeight="1" x14ac:dyDescent="0.2">
      <c r="A2344" s="740" t="s">
        <v>976</v>
      </c>
      <c r="B2344" s="67" t="s">
        <v>970</v>
      </c>
      <c r="C2344" s="347" t="s">
        <v>28</v>
      </c>
      <c r="D2344" s="347" t="s">
        <v>609</v>
      </c>
      <c r="E2344" s="374">
        <v>9990082090</v>
      </c>
      <c r="F2344" s="374"/>
      <c r="G2344" s="42">
        <f>G2345</f>
        <v>70</v>
      </c>
      <c r="H2344" s="42">
        <f>H2345</f>
        <v>0</v>
      </c>
      <c r="I2344" s="42">
        <f>I2345</f>
        <v>75.657340000000005</v>
      </c>
      <c r="J2344" s="42">
        <f>J2345</f>
        <v>0</v>
      </c>
      <c r="K2344" s="42">
        <f t="shared" si="754"/>
        <v>5.6573400000000049</v>
      </c>
      <c r="L2344" s="42">
        <f t="shared" si="755"/>
        <v>0</v>
      </c>
      <c r="M2344" s="217"/>
      <c r="N2344" s="180"/>
      <c r="R2344" s="42">
        <f>R2345</f>
        <v>159.06700000000001</v>
      </c>
      <c r="S2344" s="42">
        <f>S2345</f>
        <v>0</v>
      </c>
      <c r="T2344" s="217"/>
      <c r="U2344" s="127"/>
      <c r="V2344" s="127"/>
      <c r="W2344" s="203"/>
      <c r="X2344" s="203"/>
    </row>
    <row r="2345" spans="1:24" ht="15" x14ac:dyDescent="0.2">
      <c r="A2345" s="739" t="s">
        <v>233</v>
      </c>
      <c r="B2345" s="68" t="s">
        <v>970</v>
      </c>
      <c r="C2345" s="351" t="s">
        <v>28</v>
      </c>
      <c r="D2345" s="351" t="s">
        <v>609</v>
      </c>
      <c r="E2345" s="378">
        <v>9990082090</v>
      </c>
      <c r="F2345" s="378">
        <v>242</v>
      </c>
      <c r="G2345" s="288">
        <v>70</v>
      </c>
      <c r="H2345" s="43"/>
      <c r="I2345" s="288">
        <v>75.657340000000005</v>
      </c>
      <c r="J2345" s="43"/>
      <c r="K2345" s="43">
        <f t="shared" si="754"/>
        <v>5.6573400000000049</v>
      </c>
      <c r="L2345" s="43">
        <f t="shared" si="755"/>
        <v>0</v>
      </c>
      <c r="M2345" s="217"/>
      <c r="N2345" s="180"/>
      <c r="R2345" s="288">
        <v>159.06700000000001</v>
      </c>
      <c r="S2345" s="43"/>
      <c r="T2345" s="217"/>
      <c r="U2345" s="127"/>
      <c r="V2345" s="127"/>
      <c r="W2345" s="203"/>
      <c r="X2345" s="203"/>
    </row>
    <row r="2346" spans="1:24" ht="15" x14ac:dyDescent="0.2">
      <c r="A2346" s="740" t="s">
        <v>643</v>
      </c>
      <c r="B2346" s="67" t="s">
        <v>970</v>
      </c>
      <c r="C2346" s="347" t="s">
        <v>28</v>
      </c>
      <c r="D2346" s="347" t="s">
        <v>609</v>
      </c>
      <c r="E2346" s="374" t="s">
        <v>522</v>
      </c>
      <c r="F2346" s="374"/>
      <c r="G2346" s="42">
        <f>SUM(G2347:G2352)</f>
        <v>1245.70074</v>
      </c>
      <c r="H2346" s="42">
        <f>SUM(H2347:H2352)</f>
        <v>0</v>
      </c>
      <c r="I2346" s="42">
        <f>SUM(I2347:I2352)</f>
        <v>1322.3329800000001</v>
      </c>
      <c r="J2346" s="42">
        <f>SUM(J2347:J2352)</f>
        <v>0</v>
      </c>
      <c r="K2346" s="42">
        <f t="shared" si="754"/>
        <v>76.632240000000138</v>
      </c>
      <c r="L2346" s="42">
        <f t="shared" si="755"/>
        <v>0</v>
      </c>
      <c r="M2346" s="217">
        <f t="shared" si="744"/>
        <v>0</v>
      </c>
      <c r="N2346" s="180"/>
      <c r="R2346" s="42">
        <f>SUM(R2347:R2352)</f>
        <v>731.01378000000011</v>
      </c>
      <c r="S2346" s="42">
        <f>SUM(S2347:S2352)</f>
        <v>0</v>
      </c>
      <c r="T2346" s="217"/>
      <c r="U2346" s="42">
        <f>SUM(U2347:U2352)</f>
        <v>1238.0854400000001</v>
      </c>
      <c r="V2346" s="42">
        <f>SUM(V2347:V2352)</f>
        <v>0</v>
      </c>
      <c r="W2346" s="203">
        <f t="shared" ref="W2346:W2352" si="764">G2346-I2346</f>
        <v>-76.632240000000138</v>
      </c>
      <c r="X2346" s="203">
        <f t="shared" ref="X2346:X2352" si="765">K2346+W2346</f>
        <v>0</v>
      </c>
    </row>
    <row r="2347" spans="1:24" ht="15" x14ac:dyDescent="0.2">
      <c r="A2347" s="739" t="s">
        <v>523</v>
      </c>
      <c r="B2347" s="68" t="s">
        <v>970</v>
      </c>
      <c r="C2347" s="351" t="s">
        <v>28</v>
      </c>
      <c r="D2347" s="351" t="s">
        <v>609</v>
      </c>
      <c r="E2347" s="378" t="s">
        <v>522</v>
      </c>
      <c r="F2347" s="378" t="s">
        <v>129</v>
      </c>
      <c r="G2347" s="288">
        <v>953.14930000000004</v>
      </c>
      <c r="H2347" s="43"/>
      <c r="I2347" s="288">
        <v>1025.05304</v>
      </c>
      <c r="J2347" s="43"/>
      <c r="K2347" s="43">
        <f t="shared" si="754"/>
        <v>71.903739999999971</v>
      </c>
      <c r="L2347" s="43">
        <f t="shared" si="755"/>
        <v>0</v>
      </c>
      <c r="M2347" s="217">
        <f t="shared" si="744"/>
        <v>0</v>
      </c>
      <c r="N2347" s="180"/>
      <c r="R2347" s="288">
        <v>507.38389000000001</v>
      </c>
      <c r="S2347" s="43"/>
      <c r="T2347" s="217"/>
      <c r="U2347" s="43">
        <v>715.75199999999995</v>
      </c>
      <c r="V2347" s="43">
        <v>0</v>
      </c>
      <c r="W2347" s="203">
        <f t="shared" si="764"/>
        <v>-71.903739999999971</v>
      </c>
      <c r="X2347" s="203">
        <f t="shared" si="765"/>
        <v>0</v>
      </c>
    </row>
    <row r="2348" spans="1:24" ht="15" x14ac:dyDescent="0.2">
      <c r="A2348" s="739" t="s">
        <v>191</v>
      </c>
      <c r="B2348" s="68" t="s">
        <v>970</v>
      </c>
      <c r="C2348" s="351" t="s">
        <v>28</v>
      </c>
      <c r="D2348" s="351" t="s">
        <v>609</v>
      </c>
      <c r="E2348" s="378" t="s">
        <v>522</v>
      </c>
      <c r="F2348" s="378" t="s">
        <v>636</v>
      </c>
      <c r="G2348" s="288">
        <v>2</v>
      </c>
      <c r="H2348" s="43"/>
      <c r="I2348" s="288">
        <v>0.7</v>
      </c>
      <c r="J2348" s="43"/>
      <c r="K2348" s="43">
        <f t="shared" si="754"/>
        <v>-1.3</v>
      </c>
      <c r="L2348" s="43">
        <f t="shared" si="755"/>
        <v>0</v>
      </c>
      <c r="M2348" s="217">
        <f t="shared" si="744"/>
        <v>0</v>
      </c>
      <c r="N2348" s="180"/>
      <c r="P2348" s="166">
        <f>G2348+G2350+G2351</f>
        <v>4.7</v>
      </c>
      <c r="R2348" s="288">
        <v>1.9339999999999999</v>
      </c>
      <c r="S2348" s="43"/>
      <c r="T2348" s="217"/>
      <c r="U2348" s="43">
        <v>1.8</v>
      </c>
      <c r="V2348" s="43">
        <v>0</v>
      </c>
      <c r="W2348" s="203">
        <f t="shared" si="764"/>
        <v>1.3</v>
      </c>
      <c r="X2348" s="203">
        <f t="shared" si="765"/>
        <v>0</v>
      </c>
    </row>
    <row r="2349" spans="1:24" ht="25.5" x14ac:dyDescent="0.2">
      <c r="A2349" s="739" t="s">
        <v>572</v>
      </c>
      <c r="B2349" s="68" t="s">
        <v>970</v>
      </c>
      <c r="C2349" s="351" t="s">
        <v>28</v>
      </c>
      <c r="D2349" s="351" t="s">
        <v>609</v>
      </c>
      <c r="E2349" s="378" t="s">
        <v>522</v>
      </c>
      <c r="F2349" s="378" t="s">
        <v>524</v>
      </c>
      <c r="G2349" s="288">
        <v>287.85144000000003</v>
      </c>
      <c r="H2349" s="43"/>
      <c r="I2349" s="288">
        <v>290.57994000000002</v>
      </c>
      <c r="J2349" s="43"/>
      <c r="K2349" s="43">
        <f t="shared" si="754"/>
        <v>2.7284999999999968</v>
      </c>
      <c r="L2349" s="43">
        <f t="shared" si="755"/>
        <v>0</v>
      </c>
      <c r="M2349" s="217">
        <f t="shared" si="744"/>
        <v>0</v>
      </c>
      <c r="N2349" s="180"/>
      <c r="R2349" s="288">
        <v>153.22989000000001</v>
      </c>
      <c r="S2349" s="43"/>
      <c r="T2349" s="217"/>
      <c r="U2349" s="43">
        <v>216.15799999999999</v>
      </c>
      <c r="V2349" s="43">
        <v>0</v>
      </c>
      <c r="W2349" s="203">
        <f t="shared" si="764"/>
        <v>-2.7284999999999968</v>
      </c>
      <c r="X2349" s="203">
        <f t="shared" si="765"/>
        <v>0</v>
      </c>
    </row>
    <row r="2350" spans="1:24" ht="20.25" hidden="1" customHeight="1" x14ac:dyDescent="0.2">
      <c r="A2350" s="124" t="s">
        <v>233</v>
      </c>
      <c r="B2350" s="68" t="s">
        <v>970</v>
      </c>
      <c r="C2350" s="351" t="s">
        <v>28</v>
      </c>
      <c r="D2350" s="351" t="s">
        <v>609</v>
      </c>
      <c r="E2350" s="378" t="s">
        <v>522</v>
      </c>
      <c r="F2350" s="378">
        <v>242</v>
      </c>
      <c r="G2350" s="43">
        <v>0</v>
      </c>
      <c r="H2350" s="43"/>
      <c r="I2350" s="43">
        <v>0</v>
      </c>
      <c r="J2350" s="43"/>
      <c r="K2350" s="43">
        <f t="shared" si="754"/>
        <v>0</v>
      </c>
      <c r="L2350" s="43">
        <f t="shared" si="755"/>
        <v>0</v>
      </c>
      <c r="M2350" s="217">
        <f t="shared" si="744"/>
        <v>0</v>
      </c>
      <c r="N2350" s="180"/>
      <c r="R2350" s="43">
        <v>51.816000000000003</v>
      </c>
      <c r="S2350" s="43"/>
      <c r="T2350" s="217"/>
      <c r="U2350" s="43">
        <v>65.947000000000003</v>
      </c>
      <c r="V2350" s="43">
        <v>0</v>
      </c>
      <c r="W2350" s="203">
        <f t="shared" si="764"/>
        <v>0</v>
      </c>
      <c r="X2350" s="203">
        <f t="shared" si="765"/>
        <v>0</v>
      </c>
    </row>
    <row r="2351" spans="1:24" ht="18.75" customHeight="1" x14ac:dyDescent="0.2">
      <c r="A2351" s="739" t="s">
        <v>834</v>
      </c>
      <c r="B2351" s="68" t="s">
        <v>970</v>
      </c>
      <c r="C2351" s="351" t="s">
        <v>28</v>
      </c>
      <c r="D2351" s="351" t="s">
        <v>609</v>
      </c>
      <c r="E2351" s="378" t="s">
        <v>522</v>
      </c>
      <c r="F2351" s="378">
        <v>244</v>
      </c>
      <c r="G2351" s="43">
        <v>2.7</v>
      </c>
      <c r="H2351" s="43"/>
      <c r="I2351" s="43">
        <v>6</v>
      </c>
      <c r="J2351" s="43"/>
      <c r="K2351" s="43">
        <f t="shared" si="754"/>
        <v>3.3</v>
      </c>
      <c r="L2351" s="43">
        <f t="shared" si="755"/>
        <v>0</v>
      </c>
      <c r="M2351" s="217">
        <f t="shared" si="744"/>
        <v>0</v>
      </c>
      <c r="N2351" s="180"/>
      <c r="R2351" s="43">
        <v>16.649999999999999</v>
      </c>
      <c r="S2351" s="43"/>
      <c r="T2351" s="217"/>
      <c r="U2351" s="43">
        <v>238.428</v>
      </c>
      <c r="V2351" s="43">
        <v>0</v>
      </c>
      <c r="W2351" s="203">
        <f t="shared" si="764"/>
        <v>-3.3</v>
      </c>
      <c r="X2351" s="203">
        <f t="shared" si="765"/>
        <v>0</v>
      </c>
    </row>
    <row r="2352" spans="1:24" ht="18" hidden="1" customHeight="1" x14ac:dyDescent="0.2">
      <c r="A2352" s="186" t="s">
        <v>303</v>
      </c>
      <c r="B2352" s="68" t="s">
        <v>970</v>
      </c>
      <c r="C2352" s="351" t="s">
        <v>28</v>
      </c>
      <c r="D2352" s="351" t="s">
        <v>609</v>
      </c>
      <c r="E2352" s="378" t="s">
        <v>522</v>
      </c>
      <c r="F2352" s="378">
        <v>853</v>
      </c>
      <c r="G2352" s="43"/>
      <c r="H2352" s="43"/>
      <c r="I2352" s="43"/>
      <c r="J2352" s="43"/>
      <c r="K2352" s="43">
        <f t="shared" si="754"/>
        <v>0</v>
      </c>
      <c r="L2352" s="43">
        <f t="shared" si="755"/>
        <v>0</v>
      </c>
      <c r="M2352" s="217">
        <f t="shared" ref="M2352:M2365" si="766">I2352-G2352-K2352</f>
        <v>0</v>
      </c>
      <c r="N2352" s="180"/>
      <c r="R2352" s="43"/>
      <c r="S2352" s="43"/>
      <c r="T2352" s="217"/>
      <c r="U2352" s="43">
        <v>4.4000000000000002E-4</v>
      </c>
      <c r="V2352" s="43">
        <v>0</v>
      </c>
      <c r="W2352" s="203">
        <f t="shared" si="764"/>
        <v>0</v>
      </c>
      <c r="X2352" s="203">
        <f t="shared" si="765"/>
        <v>0</v>
      </c>
    </row>
    <row r="2353" spans="1:24" ht="15" customHeight="1" x14ac:dyDescent="0.2">
      <c r="A2353" s="741" t="s">
        <v>1383</v>
      </c>
      <c r="B2353" s="67" t="s">
        <v>970</v>
      </c>
      <c r="C2353" s="347" t="s">
        <v>28</v>
      </c>
      <c r="D2353" s="347" t="s">
        <v>609</v>
      </c>
      <c r="E2353" s="374" t="s">
        <v>1268</v>
      </c>
      <c r="F2353" s="374"/>
      <c r="G2353" s="42">
        <f>SUM(G2354:G2355)</f>
        <v>153.52600000000001</v>
      </c>
      <c r="H2353" s="42">
        <f>SUM(H2354:H2355)</f>
        <v>0</v>
      </c>
      <c r="I2353" s="42">
        <f>SUM(I2354:I2355)</f>
        <v>153.52600000000001</v>
      </c>
      <c r="J2353" s="42">
        <f>SUM(J2354:J2355)</f>
        <v>0</v>
      </c>
      <c r="K2353" s="42">
        <f t="shared" si="754"/>
        <v>0</v>
      </c>
      <c r="L2353" s="42">
        <f t="shared" si="755"/>
        <v>0</v>
      </c>
      <c r="M2353" s="217"/>
      <c r="N2353" s="180"/>
      <c r="R2353" s="43"/>
      <c r="S2353" s="43"/>
      <c r="T2353" s="217"/>
      <c r="U2353" s="43"/>
      <c r="V2353" s="43"/>
      <c r="W2353" s="203"/>
      <c r="X2353" s="203"/>
    </row>
    <row r="2354" spans="1:24" ht="19.5" customHeight="1" x14ac:dyDescent="0.2">
      <c r="A2354" s="739" t="s">
        <v>523</v>
      </c>
      <c r="B2354" s="68" t="s">
        <v>970</v>
      </c>
      <c r="C2354" s="351" t="s">
        <v>28</v>
      </c>
      <c r="D2354" s="351" t="s">
        <v>609</v>
      </c>
      <c r="E2354" s="378" t="s">
        <v>1268</v>
      </c>
      <c r="F2354" s="378" t="s">
        <v>129</v>
      </c>
      <c r="G2354" s="43">
        <v>117.916</v>
      </c>
      <c r="H2354" s="43"/>
      <c r="I2354" s="43">
        <v>117.916</v>
      </c>
      <c r="J2354" s="43"/>
      <c r="K2354" s="43">
        <f t="shared" si="754"/>
        <v>0</v>
      </c>
      <c r="L2354" s="43">
        <f t="shared" si="755"/>
        <v>0</v>
      </c>
      <c r="M2354" s="217"/>
      <c r="N2354" s="180"/>
      <c r="R2354" s="43"/>
      <c r="S2354" s="43"/>
      <c r="T2354" s="217"/>
      <c r="U2354" s="43"/>
      <c r="V2354" s="43"/>
      <c r="W2354" s="203"/>
      <c r="X2354" s="203"/>
    </row>
    <row r="2355" spans="1:24" ht="21" customHeight="1" x14ac:dyDescent="0.2">
      <c r="A2355" s="739" t="s">
        <v>572</v>
      </c>
      <c r="B2355" s="68" t="s">
        <v>970</v>
      </c>
      <c r="C2355" s="351" t="s">
        <v>28</v>
      </c>
      <c r="D2355" s="351" t="s">
        <v>609</v>
      </c>
      <c r="E2355" s="378" t="s">
        <v>1268</v>
      </c>
      <c r="F2355" s="378" t="s">
        <v>524</v>
      </c>
      <c r="G2355" s="43">
        <v>35.61</v>
      </c>
      <c r="H2355" s="43"/>
      <c r="I2355" s="43">
        <v>35.61</v>
      </c>
      <c r="J2355" s="43"/>
      <c r="K2355" s="43">
        <f t="shared" si="754"/>
        <v>0</v>
      </c>
      <c r="L2355" s="43">
        <f t="shared" si="755"/>
        <v>0</v>
      </c>
      <c r="M2355" s="217"/>
      <c r="N2355" s="180"/>
      <c r="R2355" s="43"/>
      <c r="S2355" s="43"/>
      <c r="T2355" s="217"/>
      <c r="U2355" s="43"/>
      <c r="V2355" s="43"/>
      <c r="W2355" s="203"/>
      <c r="X2355" s="203"/>
    </row>
    <row r="2356" spans="1:24" ht="25.5" customHeight="1" x14ac:dyDescent="0.2">
      <c r="A2356" s="742" t="s">
        <v>2004</v>
      </c>
      <c r="B2356" s="67" t="s">
        <v>970</v>
      </c>
      <c r="C2356" s="347" t="s">
        <v>28</v>
      </c>
      <c r="D2356" s="347" t="s">
        <v>609</v>
      </c>
      <c r="E2356" s="374" t="s">
        <v>2003</v>
      </c>
      <c r="F2356" s="374"/>
      <c r="G2356" s="42">
        <f>SUM(G2357:G2358)</f>
        <v>0</v>
      </c>
      <c r="H2356" s="42">
        <f>SUM(H2357:H2358)</f>
        <v>0</v>
      </c>
      <c r="I2356" s="42">
        <f>SUM(I2357:I2358)</f>
        <v>620.07569999999998</v>
      </c>
      <c r="J2356" s="42">
        <f>SUM(J2357:J2358)</f>
        <v>0</v>
      </c>
      <c r="K2356" s="42">
        <f t="shared" si="754"/>
        <v>620.07569999999998</v>
      </c>
      <c r="L2356" s="42">
        <f t="shared" si="755"/>
        <v>0</v>
      </c>
      <c r="M2356" s="217"/>
      <c r="N2356" s="180"/>
      <c r="R2356" s="42">
        <f>SUM(R2357:R2358)</f>
        <v>757.6099999999999</v>
      </c>
      <c r="S2356" s="42">
        <f>SUM(S2357:S2358)</f>
        <v>0</v>
      </c>
      <c r="T2356" s="217"/>
      <c r="U2356" s="42">
        <f>SUM(U2357:U2358)</f>
        <v>344.351</v>
      </c>
      <c r="V2356" s="42">
        <f>SUM(V2357:V2358)</f>
        <v>0</v>
      </c>
      <c r="W2356" s="203"/>
      <c r="X2356" s="203"/>
    </row>
    <row r="2357" spans="1:24" ht="12" customHeight="1" x14ac:dyDescent="0.2">
      <c r="A2357" s="739" t="s">
        <v>523</v>
      </c>
      <c r="B2357" s="68" t="s">
        <v>970</v>
      </c>
      <c r="C2357" s="351" t="s">
        <v>28</v>
      </c>
      <c r="D2357" s="351" t="s">
        <v>609</v>
      </c>
      <c r="E2357" s="378" t="s">
        <v>2003</v>
      </c>
      <c r="F2357" s="378" t="s">
        <v>129</v>
      </c>
      <c r="G2357" s="43"/>
      <c r="H2357" s="43"/>
      <c r="I2357" s="43">
        <v>465.07301000000001</v>
      </c>
      <c r="J2357" s="43"/>
      <c r="K2357" s="43">
        <f t="shared" si="754"/>
        <v>465.07301000000001</v>
      </c>
      <c r="L2357" s="43">
        <f t="shared" si="755"/>
        <v>0</v>
      </c>
      <c r="M2357" s="217"/>
      <c r="N2357" s="180"/>
      <c r="R2357" s="43">
        <v>581.88199999999995</v>
      </c>
      <c r="S2357" s="43"/>
      <c r="T2357" s="217"/>
      <c r="U2357" s="43">
        <v>264.47899999999998</v>
      </c>
      <c r="V2357" s="43">
        <v>0</v>
      </c>
      <c r="W2357" s="203"/>
      <c r="X2357" s="203"/>
    </row>
    <row r="2358" spans="1:24" ht="27.75" customHeight="1" x14ac:dyDescent="0.2">
      <c r="A2358" s="739" t="s">
        <v>572</v>
      </c>
      <c r="B2358" s="68" t="s">
        <v>970</v>
      </c>
      <c r="C2358" s="351" t="s">
        <v>28</v>
      </c>
      <c r="D2358" s="351" t="s">
        <v>609</v>
      </c>
      <c r="E2358" s="378" t="s">
        <v>2003</v>
      </c>
      <c r="F2358" s="378" t="s">
        <v>524</v>
      </c>
      <c r="G2358" s="43"/>
      <c r="H2358" s="43"/>
      <c r="I2358" s="43">
        <v>155.00269</v>
      </c>
      <c r="J2358" s="43"/>
      <c r="K2358" s="43">
        <f t="shared" si="754"/>
        <v>155.00269</v>
      </c>
      <c r="L2358" s="43">
        <f t="shared" si="755"/>
        <v>0</v>
      </c>
      <c r="M2358" s="217">
        <f>I2358-G2358-K2358</f>
        <v>0</v>
      </c>
      <c r="N2358" s="180"/>
      <c r="R2358" s="43">
        <v>175.72800000000001</v>
      </c>
      <c r="S2358" s="43"/>
      <c r="T2358" s="217"/>
      <c r="U2358" s="43">
        <v>79.872</v>
      </c>
      <c r="V2358" s="43">
        <v>0</v>
      </c>
      <c r="W2358" s="203">
        <f>G2358-I2358</f>
        <v>-155.00269</v>
      </c>
      <c r="X2358" s="203">
        <f>K2358+W2358</f>
        <v>0</v>
      </c>
    </row>
    <row r="2359" spans="1:24" ht="24" hidden="1" customHeight="1" x14ac:dyDescent="0.2">
      <c r="A2359" s="121" t="s">
        <v>1087</v>
      </c>
      <c r="B2359" s="67" t="s">
        <v>970</v>
      </c>
      <c r="C2359" s="350" t="s">
        <v>621</v>
      </c>
      <c r="D2359" s="350"/>
      <c r="E2359" s="377"/>
      <c r="F2359" s="377"/>
      <c r="G2359" s="42">
        <f t="shared" ref="G2359:I2364" si="767">G2360</f>
        <v>0</v>
      </c>
      <c r="H2359" s="42">
        <f t="shared" ref="H2359:J2364" si="768">H2360</f>
        <v>0</v>
      </c>
      <c r="I2359" s="42">
        <f t="shared" si="767"/>
        <v>0</v>
      </c>
      <c r="J2359" s="42">
        <f t="shared" si="768"/>
        <v>0</v>
      </c>
      <c r="K2359" s="42">
        <f t="shared" si="754"/>
        <v>0</v>
      </c>
      <c r="L2359" s="42">
        <f t="shared" si="755"/>
        <v>0</v>
      </c>
      <c r="M2359" s="217">
        <f t="shared" si="766"/>
        <v>0</v>
      </c>
      <c r="N2359" s="180"/>
      <c r="R2359" s="42">
        <f t="shared" ref="R2359:S2364" si="769">R2360</f>
        <v>0</v>
      </c>
      <c r="S2359" s="42">
        <f t="shared" si="769"/>
        <v>0</v>
      </c>
      <c r="T2359" s="217"/>
      <c r="U2359" s="42">
        <f t="shared" ref="U2359:V2364" si="770">U2360</f>
        <v>0</v>
      </c>
      <c r="V2359" s="42">
        <f t="shared" si="770"/>
        <v>0</v>
      </c>
      <c r="W2359" s="203"/>
      <c r="X2359" s="203"/>
    </row>
    <row r="2360" spans="1:24" ht="19.5" hidden="1" customHeight="1" x14ac:dyDescent="0.2">
      <c r="A2360" s="121" t="s">
        <v>11</v>
      </c>
      <c r="B2360" s="67" t="s">
        <v>970</v>
      </c>
      <c r="C2360" s="350" t="s">
        <v>621</v>
      </c>
      <c r="D2360" s="350" t="s">
        <v>606</v>
      </c>
      <c r="E2360" s="377"/>
      <c r="F2360" s="377"/>
      <c r="G2360" s="42">
        <f t="shared" si="767"/>
        <v>0</v>
      </c>
      <c r="H2360" s="42">
        <f t="shared" si="768"/>
        <v>0</v>
      </c>
      <c r="I2360" s="42">
        <f t="shared" si="767"/>
        <v>0</v>
      </c>
      <c r="J2360" s="42">
        <f t="shared" si="768"/>
        <v>0</v>
      </c>
      <c r="K2360" s="42">
        <f t="shared" si="754"/>
        <v>0</v>
      </c>
      <c r="L2360" s="42">
        <f t="shared" si="755"/>
        <v>0</v>
      </c>
      <c r="M2360" s="217">
        <f t="shared" si="766"/>
        <v>0</v>
      </c>
      <c r="N2360" s="180"/>
      <c r="R2360" s="42">
        <f t="shared" si="769"/>
        <v>0</v>
      </c>
      <c r="S2360" s="42">
        <f t="shared" si="769"/>
        <v>0</v>
      </c>
      <c r="T2360" s="217"/>
      <c r="U2360" s="42">
        <f t="shared" si="770"/>
        <v>0</v>
      </c>
      <c r="V2360" s="42">
        <f t="shared" si="770"/>
        <v>0</v>
      </c>
      <c r="W2360" s="203"/>
      <c r="X2360" s="203"/>
    </row>
    <row r="2361" spans="1:24" ht="18.75" hidden="1" customHeight="1" x14ac:dyDescent="0.2">
      <c r="A2361" s="121" t="s">
        <v>341</v>
      </c>
      <c r="B2361" s="67" t="s">
        <v>970</v>
      </c>
      <c r="C2361" s="350" t="s">
        <v>621</v>
      </c>
      <c r="D2361" s="350" t="s">
        <v>606</v>
      </c>
      <c r="E2361" s="377">
        <v>7500000000</v>
      </c>
      <c r="F2361" s="377"/>
      <c r="G2361" s="42">
        <f t="shared" si="767"/>
        <v>0</v>
      </c>
      <c r="H2361" s="42">
        <f t="shared" si="768"/>
        <v>0</v>
      </c>
      <c r="I2361" s="42">
        <f t="shared" si="767"/>
        <v>0</v>
      </c>
      <c r="J2361" s="42">
        <f t="shared" si="768"/>
        <v>0</v>
      </c>
      <c r="K2361" s="42">
        <f t="shared" si="754"/>
        <v>0</v>
      </c>
      <c r="L2361" s="42">
        <f t="shared" si="755"/>
        <v>0</v>
      </c>
      <c r="M2361" s="217">
        <f t="shared" si="766"/>
        <v>0</v>
      </c>
      <c r="N2361" s="180"/>
      <c r="R2361" s="42">
        <f t="shared" si="769"/>
        <v>0</v>
      </c>
      <c r="S2361" s="42">
        <f t="shared" si="769"/>
        <v>0</v>
      </c>
      <c r="T2361" s="217"/>
      <c r="U2361" s="42">
        <f t="shared" si="770"/>
        <v>0</v>
      </c>
      <c r="V2361" s="42">
        <f t="shared" si="770"/>
        <v>0</v>
      </c>
      <c r="W2361" s="203"/>
      <c r="X2361" s="203"/>
    </row>
    <row r="2362" spans="1:24" ht="15" hidden="1" customHeight="1" x14ac:dyDescent="0.2">
      <c r="A2362" s="121" t="s">
        <v>343</v>
      </c>
      <c r="B2362" s="67" t="s">
        <v>970</v>
      </c>
      <c r="C2362" s="350" t="s">
        <v>621</v>
      </c>
      <c r="D2362" s="350" t="s">
        <v>606</v>
      </c>
      <c r="E2362" s="377">
        <v>7510000000</v>
      </c>
      <c r="F2362" s="377"/>
      <c r="G2362" s="42">
        <f t="shared" si="767"/>
        <v>0</v>
      </c>
      <c r="H2362" s="42">
        <f t="shared" si="768"/>
        <v>0</v>
      </c>
      <c r="I2362" s="42">
        <f t="shared" si="767"/>
        <v>0</v>
      </c>
      <c r="J2362" s="42">
        <f t="shared" si="768"/>
        <v>0</v>
      </c>
      <c r="K2362" s="42">
        <f t="shared" si="754"/>
        <v>0</v>
      </c>
      <c r="L2362" s="42">
        <f t="shared" si="755"/>
        <v>0</v>
      </c>
      <c r="M2362" s="217">
        <f t="shared" si="766"/>
        <v>0</v>
      </c>
      <c r="N2362" s="180"/>
      <c r="R2362" s="42">
        <f t="shared" si="769"/>
        <v>0</v>
      </c>
      <c r="S2362" s="42">
        <f t="shared" si="769"/>
        <v>0</v>
      </c>
      <c r="T2362" s="217"/>
      <c r="U2362" s="42">
        <f t="shared" si="770"/>
        <v>0</v>
      </c>
      <c r="V2362" s="42">
        <f t="shared" si="770"/>
        <v>0</v>
      </c>
      <c r="W2362" s="203"/>
      <c r="X2362" s="203"/>
    </row>
    <row r="2363" spans="1:24" ht="13.5" hidden="1" customHeight="1" x14ac:dyDescent="0.2">
      <c r="A2363" s="121" t="s">
        <v>345</v>
      </c>
      <c r="B2363" s="67" t="s">
        <v>970</v>
      </c>
      <c r="C2363" s="350" t="s">
        <v>621</v>
      </c>
      <c r="D2363" s="350" t="s">
        <v>606</v>
      </c>
      <c r="E2363" s="377">
        <v>7510300000</v>
      </c>
      <c r="F2363" s="377"/>
      <c r="G2363" s="42">
        <f t="shared" si="767"/>
        <v>0</v>
      </c>
      <c r="H2363" s="42">
        <f t="shared" si="768"/>
        <v>0</v>
      </c>
      <c r="I2363" s="42">
        <f t="shared" si="767"/>
        <v>0</v>
      </c>
      <c r="J2363" s="42">
        <f t="shared" si="768"/>
        <v>0</v>
      </c>
      <c r="K2363" s="42">
        <f t="shared" si="754"/>
        <v>0</v>
      </c>
      <c r="L2363" s="42">
        <f t="shared" si="755"/>
        <v>0</v>
      </c>
      <c r="M2363" s="217">
        <f t="shared" si="766"/>
        <v>0</v>
      </c>
      <c r="N2363" s="180"/>
      <c r="R2363" s="42">
        <f t="shared" si="769"/>
        <v>0</v>
      </c>
      <c r="S2363" s="42">
        <f t="shared" si="769"/>
        <v>0</v>
      </c>
      <c r="T2363" s="217"/>
      <c r="U2363" s="42">
        <f t="shared" si="770"/>
        <v>0</v>
      </c>
      <c r="V2363" s="42">
        <f t="shared" si="770"/>
        <v>0</v>
      </c>
      <c r="W2363" s="203"/>
      <c r="X2363" s="203"/>
    </row>
    <row r="2364" spans="1:24" ht="15" hidden="1" customHeight="1" thickBot="1" x14ac:dyDescent="0.2">
      <c r="A2364" s="121" t="s">
        <v>1113</v>
      </c>
      <c r="B2364" s="67" t="s">
        <v>970</v>
      </c>
      <c r="C2364" s="350" t="s">
        <v>621</v>
      </c>
      <c r="D2364" s="350" t="s">
        <v>606</v>
      </c>
      <c r="E2364" s="377">
        <v>7510374500</v>
      </c>
      <c r="F2364" s="377"/>
      <c r="G2364" s="42">
        <f t="shared" si="767"/>
        <v>0</v>
      </c>
      <c r="H2364" s="42">
        <f t="shared" si="768"/>
        <v>0</v>
      </c>
      <c r="I2364" s="42">
        <f t="shared" si="767"/>
        <v>0</v>
      </c>
      <c r="J2364" s="42">
        <f t="shared" si="768"/>
        <v>0</v>
      </c>
      <c r="K2364" s="42">
        <f t="shared" si="754"/>
        <v>0</v>
      </c>
      <c r="L2364" s="42">
        <f t="shared" si="755"/>
        <v>0</v>
      </c>
      <c r="M2364" s="217">
        <f t="shared" si="766"/>
        <v>0</v>
      </c>
      <c r="N2364" s="180"/>
      <c r="P2364" s="167">
        <f>1016126+215609.6+32662.8+272.1+6471.2+17667.1+2313.8+9853.3+3575.7+114+475.1+3148.9+1051.1+28.5+49043.1+10.1+13121+297.7+10342.6+2369.2+2840.9</f>
        <v>1387393.8000000005</v>
      </c>
      <c r="Q2364" s="166">
        <f>P2364-G2366</f>
        <v>-545954.96775999921</v>
      </c>
      <c r="R2364" s="42">
        <f t="shared" si="769"/>
        <v>0</v>
      </c>
      <c r="S2364" s="42">
        <f t="shared" si="769"/>
        <v>0</v>
      </c>
      <c r="T2364" s="217"/>
      <c r="U2364" s="42">
        <f t="shared" si="770"/>
        <v>0</v>
      </c>
      <c r="V2364" s="42">
        <f t="shared" si="770"/>
        <v>0</v>
      </c>
      <c r="W2364" s="203"/>
      <c r="X2364" s="203"/>
    </row>
    <row r="2365" spans="1:24" ht="20.25" hidden="1" customHeight="1" x14ac:dyDescent="0.2">
      <c r="A2365" s="124" t="s">
        <v>164</v>
      </c>
      <c r="B2365" s="68" t="s">
        <v>970</v>
      </c>
      <c r="C2365" s="351" t="s">
        <v>621</v>
      </c>
      <c r="D2365" s="351" t="s">
        <v>606</v>
      </c>
      <c r="E2365" s="378">
        <v>7510374500</v>
      </c>
      <c r="F2365" s="378">
        <v>540</v>
      </c>
      <c r="G2365" s="43"/>
      <c r="H2365" s="43"/>
      <c r="I2365" s="43"/>
      <c r="J2365" s="43"/>
      <c r="K2365" s="43">
        <f t="shared" si="754"/>
        <v>0</v>
      </c>
      <c r="L2365" s="43">
        <f t="shared" si="755"/>
        <v>0</v>
      </c>
      <c r="M2365" s="217">
        <f t="shared" si="766"/>
        <v>0</v>
      </c>
      <c r="N2365" s="180"/>
      <c r="P2365" s="469" t="s">
        <v>1388</v>
      </c>
      <c r="Q2365" s="566"/>
      <c r="R2365" s="43"/>
      <c r="S2365" s="43"/>
      <c r="T2365" s="217"/>
      <c r="U2365" s="43"/>
      <c r="V2365" s="43"/>
      <c r="W2365" s="203"/>
      <c r="X2365" s="203"/>
    </row>
    <row r="2366" spans="1:24" ht="22.5" hidden="1" customHeight="1" x14ac:dyDescent="0.25">
      <c r="A2366" s="122" t="s">
        <v>139</v>
      </c>
      <c r="B2366" s="334"/>
      <c r="C2366" s="357"/>
      <c r="D2366" s="357"/>
      <c r="E2366" s="383"/>
      <c r="F2366" s="383"/>
      <c r="G2366" s="44">
        <f>G1231+G1669+G1767+G803+G526+G283+G11+G224+G72+G2210</f>
        <v>1933348.7677599997</v>
      </c>
      <c r="H2366" s="44">
        <f>H1231+H1669+H1767+H803+H526+H283+H11+H224+H72+H2210</f>
        <v>552456.90231000003</v>
      </c>
      <c r="I2366" s="44">
        <f>I1231+I1669+I1767+I803+I526+I283+I11+I224+I72+I2210</f>
        <v>2219807.5769099998</v>
      </c>
      <c r="J2366" s="44">
        <f>J1231+J1669+J1767+J803+J526+J283+J11+J224+J72+J2210</f>
        <v>577092.04271000007</v>
      </c>
      <c r="K2366" s="44">
        <f t="shared" si="754"/>
        <v>286458.8091500001</v>
      </c>
      <c r="L2366" s="44">
        <f t="shared" si="755"/>
        <v>24635.140400000033</v>
      </c>
      <c r="M2366" s="217">
        <f>I2366-G2366-K2366</f>
        <v>0</v>
      </c>
      <c r="N2366" s="44" t="e">
        <f>N1231+N1669+N1767+N803+N526+N283+N11+N224</f>
        <v>#REF!</v>
      </c>
      <c r="P2366" s="470">
        <v>1741874535.9400001</v>
      </c>
      <c r="Q2366" s="567"/>
      <c r="R2366" s="44" t="e">
        <f>R1231+R1669+R1767+R803+R526+R283+R11+R224+R72+R2210</f>
        <v>#REF!</v>
      </c>
      <c r="S2366" s="44" t="e">
        <f>S1231+S1669+S1767+S803+S526+S283+S11+S224+S72+S2210</f>
        <v>#REF!</v>
      </c>
      <c r="T2366" s="217">
        <f>I2366-G2366</f>
        <v>286458.8091500001</v>
      </c>
      <c r="U2366" s="44" t="e">
        <f>U1231+U1669+U1767+U803+U526+U283+U11+U224+U72+U2210</f>
        <v>#REF!</v>
      </c>
      <c r="V2366" s="44" t="e">
        <f>V1231+V1669+V1767+V803+V526+V283+V11+V224+V72+V2210</f>
        <v>#REF!</v>
      </c>
      <c r="W2366" s="203">
        <f>G2366-I2366</f>
        <v>-286458.8091500001</v>
      </c>
      <c r="X2366" s="203">
        <f>K2366+W2366</f>
        <v>0</v>
      </c>
    </row>
    <row r="2367" spans="1:24" ht="13.5" hidden="1" customHeight="1" x14ac:dyDescent="0.2">
      <c r="B2367" s="335"/>
      <c r="C2367" s="358"/>
      <c r="D2367" s="358"/>
      <c r="F2367" s="372"/>
      <c r="G2367" s="440">
        <f>'прил1 доходы 2024'!C6+'безвоз 2024 пр.2'!D7-ист.прил5!C24-G2366</f>
        <v>-48946.484929999802</v>
      </c>
      <c r="H2367" s="440">
        <v>497531.05587000004</v>
      </c>
      <c r="I2367" s="440">
        <f>'прил1 доходы 2024'!D6+'безвоз 2024 пр.2'!E7+ист.прил5!D25-ист.прил5!D24</f>
        <v>2215807.5769099998</v>
      </c>
      <c r="J2367" s="440">
        <v>546790.90470999992</v>
      </c>
      <c r="K2367" s="41" t="e">
        <f>'прил1 доходы 2024'!#REF!+'безвоз 2024 пр.2'!F7-ист.прил5!E24</f>
        <v>#REF!</v>
      </c>
      <c r="L2367" s="41"/>
      <c r="M2367" s="166"/>
      <c r="N2367" s="41">
        <f>'[3]прил 5 доходы'!O8+'[3]безвоз пр.6'!O11-[3]ист.прил11!N22+[3]ист.прил11!N15+[3]ист.прил11!N20</f>
        <v>0</v>
      </c>
      <c r="P2367" s="471">
        <f>P2366/1000</f>
        <v>1741874.5359400001</v>
      </c>
      <c r="Q2367" s="299"/>
      <c r="R2367" s="41" t="e">
        <f>'прил1 доходы 2024'!L6+'безвоз 2024 пр.2'!N7-ист.прил5!M24-R2366</f>
        <v>#REF!</v>
      </c>
      <c r="S2367" s="41" t="e">
        <f>S2366-'[4]безвоз на 01.03.2021'!$F$292</f>
        <v>#REF!</v>
      </c>
      <c r="U2367" s="440">
        <f>'прил1 доходы 2024'!L6+'безвоз 2024 пр.2'!P7-ист.прил5!O24</f>
        <v>2225853.2508100001</v>
      </c>
      <c r="V2367" s="440" t="e">
        <f>V2366-'[4]безвоз на 01.03.2021'!$F$292</f>
        <v>#REF!</v>
      </c>
    </row>
    <row r="2368" spans="1:24" ht="11.25" customHeight="1" thickBot="1" x14ac:dyDescent="0.25">
      <c r="A2368" s="678">
        <v>1731993841.1400001</v>
      </c>
      <c r="B2368" s="335"/>
      <c r="C2368" s="358"/>
      <c r="D2368" s="358"/>
      <c r="E2368" s="372"/>
      <c r="F2368" s="372"/>
      <c r="G2368" s="440">
        <f>G2367-G2366</f>
        <v>-1982295.2526899995</v>
      </c>
      <c r="H2368" s="41">
        <f>H2366-H2367</f>
        <v>54925.846439999994</v>
      </c>
      <c r="I2368" s="440">
        <f>I2367-I2366</f>
        <v>-4000</v>
      </c>
      <c r="J2368" s="41">
        <f>J2366-J2367</f>
        <v>30301.138000000152</v>
      </c>
      <c r="K2368" s="41" t="e">
        <f>K2367-K2366</f>
        <v>#REF!</v>
      </c>
      <c r="L2368" s="41"/>
      <c r="N2368" s="41" t="e">
        <f>N2367-N2366</f>
        <v>#REF!</v>
      </c>
      <c r="P2368" s="472">
        <f>I2366-P2367</f>
        <v>477933.04096999974</v>
      </c>
      <c r="Q2368" s="568"/>
      <c r="R2368" s="41" t="e">
        <f>R2367-R2366</f>
        <v>#REF!</v>
      </c>
      <c r="S2368" s="41"/>
      <c r="U2368" s="440" t="e">
        <f>U2367-U2366</f>
        <v>#REF!</v>
      </c>
      <c r="V2368" s="41"/>
    </row>
    <row r="2369" spans="1:22" x14ac:dyDescent="0.2">
      <c r="A2369" s="678">
        <f>I2366-1731993.8</f>
        <v>487813.77690999978</v>
      </c>
      <c r="B2369" s="336"/>
      <c r="C2369" s="359"/>
      <c r="D2369" s="359"/>
      <c r="E2369" s="384" t="s">
        <v>165</v>
      </c>
      <c r="F2369" s="384"/>
      <c r="G2369" s="577">
        <f>G2356+G2346+G1807+G1795+G1686+G1697+G1260+G1273+G1244+G1238+G1146+G1147+G1134+G710+G709+G703+G288+G164+G155+G42+G13+G1257+G1255</f>
        <v>26017.532390000004</v>
      </c>
      <c r="H2369" s="483">
        <f>H2356+H2346+H1807+H1795+H1686+H1697+H1260+H1273+H1244+H1238+H1146+H1147+H1134+H710+H709+H703+H288+H164+H155+H42+H13</f>
        <v>0</v>
      </c>
      <c r="I2369" s="577">
        <f>I2356+I2346+I1807+I1795+I1686+I1697+I1260+I1273+I1244+I1238+I1146+I1147+I1134+I710+I709+I703+I288+I164+I155+I42+I13+I1257+I1255</f>
        <v>38099.961810000001</v>
      </c>
      <c r="J2369" s="483">
        <f>J2356+J2346+J1807+J1795+J1686+J1697+J1260+J1273+J1244+J1238+J1146+J1147+J1134+J710+J709+J703+J288+J164+J155+J42+J13</f>
        <v>74.400000000000006</v>
      </c>
      <c r="K2369" s="295" t="e">
        <f>K20+K27+K51+K342+K703+#REF!+K1238+K1260+K1795+K30+K1686</f>
        <v>#REF!</v>
      </c>
      <c r="L2369" s="295" t="e">
        <f>L20+L27+L51+L342+L703+#REF!+L1238+L1260+#REF!+L1795+L30</f>
        <v>#REF!</v>
      </c>
      <c r="N2369" s="295" t="e">
        <f>N20+N27+N51+N342+N703+#REF!+N1238+N1260+N1795+N30+N1686</f>
        <v>#REF!</v>
      </c>
      <c r="R2369" s="295" t="e">
        <f>R20+R27+R51+R342+R703+#REF!+R1238+R1260+R1795+R30+R1686+R2346+R295+R155</f>
        <v>#REF!</v>
      </c>
      <c r="S2369" s="295" t="e">
        <f>S20+S27+S51+S342+S703+#REF!+S1238+S1260+#REF!+S1795+S30</f>
        <v>#REF!</v>
      </c>
      <c r="U2369" s="483" t="e">
        <f>U20+U27+U51+U342+U703+#REF!+U1238+U1260+U1795+U30+U1686+U2346+U295+U155</f>
        <v>#REF!</v>
      </c>
      <c r="V2369" s="295" t="e">
        <f>V20+V27+V51+V342+V703+#REF!+V1238+V1260+#REF!+V1795+V30</f>
        <v>#REF!</v>
      </c>
    </row>
    <row r="2370" spans="1:22" x14ac:dyDescent="0.2">
      <c r="A2370" s="293"/>
      <c r="B2370" s="337"/>
      <c r="C2370" s="359"/>
      <c r="D2370" s="359"/>
      <c r="E2370" s="384" t="s">
        <v>1490</v>
      </c>
      <c r="F2370" s="384"/>
      <c r="G2370" s="662">
        <f>G1137+G1025+G827+G2330+G1743+G1590+G598+G576+G541+G305+G269+G1804+G1694+G1270+G1241+G728+G711+G167+G59+G36</f>
        <v>155856.51199999996</v>
      </c>
      <c r="H2370" s="577">
        <f>H1137+H1025+H827+H2330+H1743+H1590+H598+H576+H541+H305+H269</f>
        <v>0</v>
      </c>
      <c r="I2370" s="577">
        <f>I1137+I1025+I827+I2330+I1743+I1590+I598+I576+I541+I305+I269</f>
        <v>130123.27923999999</v>
      </c>
      <c r="J2370" s="577">
        <f>J1137+J1025+J827+J2330+J1743+J1590+J598+J576+J541+J305+J269</f>
        <v>0</v>
      </c>
      <c r="K2370" s="574">
        <f>K1137+K1025+K827+K2330+K1743+K1590+K598+K576+K541+K305+K269</f>
        <v>-236.08575999999994</v>
      </c>
      <c r="L2370" s="574">
        <f>L1137+L1025+L827+L2330+L1743+L1590+L598+L576+L541+L305+L269</f>
        <v>0</v>
      </c>
      <c r="M2370" s="573">
        <v>65352.4</v>
      </c>
      <c r="N2370" s="574" t="e">
        <f>222942.3-179052.1-N2366</f>
        <v>#REF!</v>
      </c>
      <c r="O2370" s="573"/>
      <c r="P2370" s="575">
        <f>M2370-G2370</f>
        <v>-90504.111999999965</v>
      </c>
      <c r="R2370" s="574">
        <f>R1137+R1025+R827+R2330+R1743+R1590+R598+R576+R541+R305+R269</f>
        <v>80199.899999999994</v>
      </c>
      <c r="S2370" s="574">
        <f>S1137+S1025+S827+S2330+S1743+S1590+S598+S576+S541+S305+S269</f>
        <v>0</v>
      </c>
      <c r="U2370" s="483" t="e">
        <f>#REF!+U1025+U827+U728+U598</f>
        <v>#REF!</v>
      </c>
      <c r="V2370" s="295" t="e">
        <f>#REF!+V827+V1744+V1612+#REF!+V1025+V728+V541+V251</f>
        <v>#REF!</v>
      </c>
    </row>
    <row r="2371" spans="1:22" x14ac:dyDescent="0.2">
      <c r="A2371" s="123"/>
      <c r="B2371" s="338"/>
      <c r="C2371" s="358"/>
      <c r="D2371" s="358"/>
      <c r="E2371" s="372" t="s">
        <v>1491</v>
      </c>
      <c r="F2371" s="372"/>
      <c r="G2371" s="578">
        <f t="shared" ref="G2371:L2371" si="771">G2356+G2332+G1807+G1697+G1594+G1273+G1244+G1143+G734+G706+G588+G549+G603+G308+G273+G56+G164+G33</f>
        <v>0</v>
      </c>
      <c r="H2371" s="578">
        <f t="shared" si="771"/>
        <v>0</v>
      </c>
      <c r="I2371" s="576">
        <f t="shared" si="771"/>
        <v>67780.286420000019</v>
      </c>
      <c r="J2371" s="578">
        <f t="shared" si="771"/>
        <v>0</v>
      </c>
      <c r="K2371" s="576">
        <f t="shared" si="771"/>
        <v>67780.286420000019</v>
      </c>
      <c r="L2371" s="576">
        <f t="shared" si="771"/>
        <v>0</v>
      </c>
      <c r="M2371" s="573">
        <v>65040.800000000003</v>
      </c>
      <c r="N2371" s="576"/>
      <c r="O2371" s="573"/>
      <c r="P2371" s="575">
        <f>M2371-G2371</f>
        <v>65040.800000000003</v>
      </c>
      <c r="R2371" s="576">
        <f>R2356+R2332+R1807+R1697+R1594+R1273+R1244+R1143+R734+R706+R588+R549+R603+R308+R273+R56+R164+R33</f>
        <v>65040.700000000004</v>
      </c>
      <c r="S2371" s="576">
        <f>S2356+S2332+S1807+S1697+S1594+S1273+S1244+S1143+S734+S706+S588+S549+S603+S308+S273+S56+S164+S33</f>
        <v>0</v>
      </c>
      <c r="U2371" s="440"/>
      <c r="V2371" s="41"/>
    </row>
    <row r="2372" spans="1:22" x14ac:dyDescent="0.2">
      <c r="A2372" s="123"/>
      <c r="B2372" s="339" t="s">
        <v>939</v>
      </c>
      <c r="C2372" s="358"/>
      <c r="D2372" s="358"/>
      <c r="E2372" s="372"/>
      <c r="F2372" s="372" t="s">
        <v>1456</v>
      </c>
      <c r="G2372" s="440">
        <v>296917.7</v>
      </c>
      <c r="H2372" s="41">
        <v>497531.05587000004</v>
      </c>
      <c r="I2372" s="440">
        <v>296917.7</v>
      </c>
      <c r="J2372" s="41"/>
      <c r="K2372" s="41">
        <v>296917.7</v>
      </c>
      <c r="L2372" s="41"/>
      <c r="N2372" s="41">
        <v>296917.7</v>
      </c>
      <c r="P2372" s="166"/>
      <c r="Q2372" s="166"/>
      <c r="R2372" s="41">
        <v>296917.7</v>
      </c>
      <c r="S2372" s="41"/>
      <c r="U2372" s="440">
        <v>296917.7</v>
      </c>
      <c r="V2372" s="41"/>
    </row>
    <row r="2373" spans="1:22" hidden="1" x14ac:dyDescent="0.2">
      <c r="A2373" s="293"/>
      <c r="B2373" s="340" t="s">
        <v>940</v>
      </c>
      <c r="C2373" s="359"/>
      <c r="D2373" s="359"/>
      <c r="E2373" s="384"/>
      <c r="F2373" s="384"/>
      <c r="G2373" s="483">
        <f>G2366-G2372</f>
        <v>1636431.0677599998</v>
      </c>
      <c r="H2373" s="483">
        <f>6761.4+608.9+54+1341.6+3394.6+2434.5+321.744+3052.236</f>
        <v>17968.98</v>
      </c>
      <c r="I2373" s="483">
        <f>I2366-I2372</f>
        <v>1922889.8769099999</v>
      </c>
      <c r="J2373" s="483">
        <f>6761.4+608.9+54+1341.6+3394.6+2434.5+321.744+3052.236</f>
        <v>17968.98</v>
      </c>
      <c r="K2373" s="295">
        <f>K2366-K2372</f>
        <v>-10458.890849999909</v>
      </c>
      <c r="L2373" s="295">
        <f>6761.4+608.9+54+1341.6+3394.6+2434.5+321.744+3052.236</f>
        <v>17968.98</v>
      </c>
      <c r="N2373" s="295" t="e">
        <f>N2366-N2372</f>
        <v>#REF!</v>
      </c>
      <c r="P2373" s="167">
        <v>1925746.91827</v>
      </c>
      <c r="R2373" s="295" t="e">
        <f>R2366-R2372</f>
        <v>#REF!</v>
      </c>
      <c r="S2373" s="295">
        <f>6761.4+608.9+54+1341.6+3394.6+2434.5+321.744+3052.236</f>
        <v>17968.98</v>
      </c>
      <c r="U2373" s="483" t="e">
        <f>U2366-U2372</f>
        <v>#REF!</v>
      </c>
      <c r="V2373" s="483">
        <f>6761.4+608.9+54+1341.6+3394.6+2434.5+321.744+3052.236</f>
        <v>17968.98</v>
      </c>
    </row>
    <row r="2374" spans="1:22" x14ac:dyDescent="0.2">
      <c r="A2374" s="293"/>
      <c r="B2374" s="340" t="s">
        <v>941</v>
      </c>
      <c r="C2374" s="359"/>
      <c r="D2374" s="359"/>
      <c r="E2374" s="384"/>
      <c r="F2374" s="384"/>
      <c r="G2374" s="483">
        <f t="shared" ref="G2374:L2374" si="772">G1890+G1738+G1726+G1719+G1672+G1523+G1102+G1074+G897+G810+G690+G567+G536+G371</f>
        <v>1054617.5863599998</v>
      </c>
      <c r="H2374" s="483">
        <f t="shared" si="772"/>
        <v>65471.903010000002</v>
      </c>
      <c r="I2374" s="483">
        <f t="shared" si="772"/>
        <v>1178722.1431</v>
      </c>
      <c r="J2374" s="483">
        <f t="shared" si="772"/>
        <v>88149.803010000003</v>
      </c>
      <c r="K2374" s="295">
        <f t="shared" si="772"/>
        <v>124104.55674000006</v>
      </c>
      <c r="L2374" s="295">
        <f t="shared" si="772"/>
        <v>22677.9</v>
      </c>
      <c r="N2374" s="295" t="e">
        <f>N1890+N1738+N1726+N1719+N1672+N1523+#REF!+N1102+N1074+N897+N810+N690+N567+N536+N371</f>
        <v>#REF!</v>
      </c>
      <c r="P2374" s="216">
        <f>P2373-I2366</f>
        <v>-294060.65863999981</v>
      </c>
      <c r="Q2374" s="166"/>
      <c r="R2374" s="295" t="e">
        <f>R1890+R1738+R1726+R1719+R1672+R1523+R1102+R1074+R897+R810+R690+R567+R536+R371</f>
        <v>#REF!</v>
      </c>
      <c r="S2374" s="295" t="e">
        <f>S1890+S1738+S1726+S1719+S1672+S1523+S1102+S1074+S897+S810+S690+S567+S536+S371</f>
        <v>#REF!</v>
      </c>
      <c r="T2374" s="219">
        <f>73670.2+776088.7+23200-40752.3+22107.9</f>
        <v>854314.49999999988</v>
      </c>
      <c r="U2374" s="483" t="e">
        <f>U1890+U1738+U1726+U1719+U1672+U1523+U1102+U1074+U897+U810+U690+U567+U536+U371</f>
        <v>#REF!</v>
      </c>
      <c r="V2374" s="483" t="e">
        <f>V1890+V1738+V1726+V1719+V1672+V1523+V1102+V1074+V897+V810+V690+V567+V536+V371</f>
        <v>#REF!</v>
      </c>
    </row>
    <row r="2375" spans="1:22" x14ac:dyDescent="0.2">
      <c r="A2375" s="293"/>
      <c r="B2375" s="340" t="s">
        <v>943</v>
      </c>
      <c r="C2375" s="359"/>
      <c r="D2375" s="359"/>
      <c r="E2375" s="384"/>
      <c r="F2375" s="384" t="s">
        <v>672</v>
      </c>
      <c r="G2375" s="483">
        <f t="shared" ref="G2375:L2375" si="773">G2198+G1012+G879+G734</f>
        <v>3266.933</v>
      </c>
      <c r="H2375" s="295">
        <f t="shared" si="773"/>
        <v>0</v>
      </c>
      <c r="I2375" s="483">
        <f t="shared" si="773"/>
        <v>10338.700059999999</v>
      </c>
      <c r="J2375" s="295">
        <f t="shared" si="773"/>
        <v>0</v>
      </c>
      <c r="K2375" s="295">
        <f t="shared" si="773"/>
        <v>7071.7670599999992</v>
      </c>
      <c r="L2375" s="295">
        <f t="shared" si="773"/>
        <v>0</v>
      </c>
      <c r="N2375" s="295"/>
      <c r="P2375" s="166"/>
      <c r="Q2375" s="166"/>
      <c r="R2375" s="295">
        <f>R2198+R1012+R879+R734</f>
        <v>8950.5874000000003</v>
      </c>
      <c r="S2375" s="295">
        <f>S2198+S1012+S879+S734</f>
        <v>0</v>
      </c>
      <c r="T2375" s="216">
        <f>I2366-T2374</f>
        <v>1365493.0769099998</v>
      </c>
      <c r="U2375" s="483">
        <f>U2198+U1012+U879+U734</f>
        <v>9993.4073200000003</v>
      </c>
      <c r="V2375" s="295">
        <f>V2198+V1012+V879+V734</f>
        <v>0</v>
      </c>
    </row>
    <row r="2376" spans="1:22" hidden="1" x14ac:dyDescent="0.2">
      <c r="A2376" s="293"/>
      <c r="B2376" s="340"/>
      <c r="C2376" s="359"/>
      <c r="D2376" s="359"/>
      <c r="E2376" s="384"/>
      <c r="F2376" s="384" t="s">
        <v>673</v>
      </c>
      <c r="G2376" s="483" t="e">
        <f>G2200+#REF!+G864+G736</f>
        <v>#REF!</v>
      </c>
      <c r="H2376" s="295" t="e">
        <f>H2200+#REF!+H864+H736</f>
        <v>#REF!</v>
      </c>
      <c r="I2376" s="295" t="e">
        <f>I2200+#REF!+I864+I736</f>
        <v>#REF!</v>
      </c>
      <c r="J2376" s="295" t="e">
        <f>J2200+#REF!+J864+J736</f>
        <v>#REF!</v>
      </c>
      <c r="K2376" s="295" t="e">
        <f>K2200+#REF!+K864+K736</f>
        <v>#REF!</v>
      </c>
      <c r="L2376" s="295" t="e">
        <f>L2200+#REF!+L864+L736</f>
        <v>#REF!</v>
      </c>
      <c r="N2376" s="295"/>
      <c r="R2376" s="295" t="e">
        <f>R2200+#REF!+R864+R736</f>
        <v>#REF!</v>
      </c>
      <c r="S2376" s="295" t="e">
        <f>S2200+#REF!+S864+S736</f>
        <v>#REF!</v>
      </c>
      <c r="U2376" s="483" t="e">
        <f>U2200+#REF!+U864+U736</f>
        <v>#REF!</v>
      </c>
      <c r="V2376" s="295" t="e">
        <f>V2200+#REF!+V864+V736</f>
        <v>#REF!</v>
      </c>
    </row>
    <row r="2377" spans="1:22" x14ac:dyDescent="0.2">
      <c r="A2377" s="293"/>
      <c r="B2377" s="340"/>
      <c r="C2377" s="359"/>
      <c r="D2377" s="359"/>
      <c r="E2377" s="384"/>
      <c r="F2377" s="384"/>
      <c r="G2377" s="483"/>
      <c r="H2377" s="483"/>
      <c r="I2377" s="483"/>
      <c r="J2377" s="483"/>
      <c r="K2377" s="295">
        <f>J2377-J2366</f>
        <v>-577092.04271000007</v>
      </c>
      <c r="L2377" s="295"/>
      <c r="N2377" s="295"/>
      <c r="R2377" s="295" t="e">
        <f>R2356+#REF!+R1807+R1753+R1697+R1594++R1273+R1244+R1143+R1028+R931+R841+R734+R706+R603+R588+R549+R308+R273+R164+R56+R33</f>
        <v>#REF!</v>
      </c>
      <c r="S2377" s="295">
        <v>691456.04960999987</v>
      </c>
      <c r="U2377" s="483" t="e">
        <f>U2356+#REF!+U1807+U1753+U1697+U1594++U1273+U1244+U1143+U1028+U931+U841+U734+U706+U603+U588+U549+U308+U273+U164+U56+U33</f>
        <v>#REF!</v>
      </c>
      <c r="V2377" s="483"/>
    </row>
    <row r="2378" spans="1:22" x14ac:dyDescent="0.2">
      <c r="A2378" s="293"/>
      <c r="B2378" s="340"/>
      <c r="C2378" s="359"/>
      <c r="D2378" s="359"/>
      <c r="E2378" s="384">
        <v>7000</v>
      </c>
      <c r="F2378" s="384"/>
      <c r="G2378" s="551">
        <f t="shared" ref="G2378:L2378" si="774">G1289+G1098</f>
        <v>1000</v>
      </c>
      <c r="H2378" s="551">
        <f t="shared" si="774"/>
        <v>0</v>
      </c>
      <c r="I2378" s="551">
        <f t="shared" si="774"/>
        <v>1000</v>
      </c>
      <c r="J2378" s="551">
        <f t="shared" si="774"/>
        <v>0</v>
      </c>
      <c r="K2378" s="608">
        <f t="shared" si="774"/>
        <v>0</v>
      </c>
      <c r="L2378" s="608">
        <f t="shared" si="774"/>
        <v>0</v>
      </c>
      <c r="N2378" s="295"/>
      <c r="R2378" s="608">
        <f>R1289</f>
        <v>9.8000000000000007</v>
      </c>
      <c r="S2378" s="608">
        <f>S1289</f>
        <v>0</v>
      </c>
      <c r="U2378" s="483">
        <f>U1289</f>
        <v>979.08199999999999</v>
      </c>
      <c r="V2378" s="483">
        <f>V1289</f>
        <v>0</v>
      </c>
    </row>
    <row r="2379" spans="1:22" x14ac:dyDescent="0.2">
      <c r="A2379" s="293"/>
      <c r="B2379" s="340"/>
      <c r="C2379" s="359"/>
      <c r="D2379" s="359"/>
      <c r="E2379" s="384" t="s">
        <v>1516</v>
      </c>
      <c r="F2379" s="384"/>
      <c r="G2379" s="551">
        <f t="shared" ref="G2379:L2379" si="775">G1306+G651+G1038+G1151+G2312+G555+G2244+G852</f>
        <v>719.8</v>
      </c>
      <c r="H2379" s="551">
        <f t="shared" si="775"/>
        <v>0</v>
      </c>
      <c r="I2379" s="551">
        <f t="shared" si="775"/>
        <v>999.8</v>
      </c>
      <c r="J2379" s="551">
        <f t="shared" si="775"/>
        <v>0</v>
      </c>
      <c r="K2379" s="551">
        <f t="shared" si="775"/>
        <v>280</v>
      </c>
      <c r="L2379" s="551">
        <f t="shared" si="775"/>
        <v>0</v>
      </c>
      <c r="N2379" s="295"/>
      <c r="R2379" s="551">
        <f>R1306+R651+R1038+R1151+R2312+R555</f>
        <v>2159.75</v>
      </c>
      <c r="S2379" s="551">
        <f>S1306+S651+S1038+S1151+S2312+S555</f>
        <v>0</v>
      </c>
      <c r="U2379" s="483"/>
      <c r="V2379" s="483"/>
    </row>
    <row r="2380" spans="1:22" x14ac:dyDescent="0.2">
      <c r="A2380" s="293"/>
      <c r="B2380" s="340"/>
      <c r="C2380" s="359"/>
      <c r="D2380" s="359"/>
      <c r="E2380" s="384" t="s">
        <v>1979</v>
      </c>
      <c r="F2380" s="384"/>
      <c r="G2380" s="551">
        <f t="shared" ref="G2380:L2380" si="776">G1321</f>
        <v>199.5</v>
      </c>
      <c r="H2380" s="551">
        <f t="shared" si="776"/>
        <v>0</v>
      </c>
      <c r="I2380" s="551">
        <f t="shared" si="776"/>
        <v>199.5</v>
      </c>
      <c r="J2380" s="551">
        <f t="shared" si="776"/>
        <v>0</v>
      </c>
      <c r="K2380" s="608">
        <f t="shared" si="776"/>
        <v>0</v>
      </c>
      <c r="L2380" s="608">
        <f t="shared" si="776"/>
        <v>0</v>
      </c>
      <c r="N2380" s="295"/>
      <c r="R2380" s="551"/>
      <c r="S2380" s="551"/>
      <c r="U2380" s="483"/>
      <c r="V2380" s="483"/>
    </row>
    <row r="2381" spans="1:22" x14ac:dyDescent="0.2">
      <c r="A2381" s="293"/>
      <c r="B2381" s="340"/>
      <c r="C2381" s="359"/>
      <c r="D2381" s="359"/>
      <c r="E2381" s="384">
        <v>7100</v>
      </c>
      <c r="G2381" s="440">
        <f t="shared" ref="G2381:L2381" si="777">G1672+G1719+G1726+G1738+G1705</f>
        <v>77853.484209999995</v>
      </c>
      <c r="H2381" s="440">
        <f t="shared" si="777"/>
        <v>0</v>
      </c>
      <c r="I2381" s="440">
        <f t="shared" si="777"/>
        <v>88795.462439999988</v>
      </c>
      <c r="J2381" s="440">
        <f t="shared" si="777"/>
        <v>0</v>
      </c>
      <c r="K2381" s="41">
        <f t="shared" si="777"/>
        <v>10941.978229999997</v>
      </c>
      <c r="L2381" s="41">
        <f t="shared" si="777"/>
        <v>0</v>
      </c>
      <c r="N2381" s="295">
        <f>N1738+N1726+N1719+N1672</f>
        <v>56230.235999999997</v>
      </c>
      <c r="P2381" s="446"/>
      <c r="Q2381" s="446"/>
      <c r="R2381" s="41">
        <f>R1672+R1719+R1726+R1738</f>
        <v>63602.599050000004</v>
      </c>
      <c r="S2381" s="41">
        <f>S1672+S1719+S1726+S1738</f>
        <v>0</v>
      </c>
      <c r="U2381" s="440">
        <f>U1672+U1719+U1726+U1738</f>
        <v>57064.468000000001</v>
      </c>
      <c r="V2381" s="440">
        <f>V1672+V1719+V1726+V1738</f>
        <v>0</v>
      </c>
    </row>
    <row r="2382" spans="1:22" x14ac:dyDescent="0.2">
      <c r="A2382" s="293"/>
      <c r="B2382" s="340"/>
      <c r="C2382" s="359"/>
      <c r="D2382" s="359"/>
      <c r="E2382" s="384">
        <v>7300</v>
      </c>
      <c r="G2382" s="440">
        <f t="shared" ref="G2382:L2382" si="778">G747+G690+G567+G536</f>
        <v>81287.296220000004</v>
      </c>
      <c r="H2382" s="440">
        <f t="shared" si="778"/>
        <v>1239.0030099999999</v>
      </c>
      <c r="I2382" s="440">
        <f t="shared" si="778"/>
        <v>100044.09818</v>
      </c>
      <c r="J2382" s="440">
        <f t="shared" si="778"/>
        <v>1239.0030099999999</v>
      </c>
      <c r="K2382" s="41">
        <f t="shared" si="778"/>
        <v>18756.801959999993</v>
      </c>
      <c r="L2382" s="41">
        <f t="shared" si="778"/>
        <v>0</v>
      </c>
      <c r="N2382" s="295">
        <f>N536+N567+N690+N747</f>
        <v>35562.11</v>
      </c>
      <c r="R2382" s="41">
        <f>R747+R690+R567+R536</f>
        <v>87695.686239999995</v>
      </c>
      <c r="S2382" s="41">
        <f>S747+S690+S567+S536</f>
        <v>15004.312540000001</v>
      </c>
      <c r="T2382" s="216">
        <v>503622.40000000002</v>
      </c>
      <c r="U2382" s="440">
        <f>U747+U690+U567+U536</f>
        <v>87872.191819999993</v>
      </c>
      <c r="V2382" s="440">
        <f>V747+V690+V567+V536</f>
        <v>15520.417109999999</v>
      </c>
    </row>
    <row r="2383" spans="1:22" x14ac:dyDescent="0.2">
      <c r="A2383" s="293"/>
      <c r="B2383" s="340"/>
      <c r="C2383" s="359"/>
      <c r="D2383" s="359"/>
      <c r="E2383" s="384">
        <v>7400</v>
      </c>
      <c r="G2383" s="440">
        <f t="shared" ref="G2383:L2383" si="779">G365+G885+G100</f>
        <v>900.14</v>
      </c>
      <c r="H2383" s="440">
        <f t="shared" si="779"/>
        <v>812.28699999999992</v>
      </c>
      <c r="I2383" s="440">
        <f t="shared" si="779"/>
        <v>900.14</v>
      </c>
      <c r="J2383" s="440">
        <f t="shared" si="779"/>
        <v>812.28699999999992</v>
      </c>
      <c r="K2383" s="41">
        <f t="shared" si="779"/>
        <v>0</v>
      </c>
      <c r="L2383" s="41">
        <f t="shared" si="779"/>
        <v>0</v>
      </c>
      <c r="N2383" s="295">
        <v>0</v>
      </c>
      <c r="R2383" s="41">
        <f>R365+R885+R100</f>
        <v>604.67534999999998</v>
      </c>
      <c r="S2383" s="41">
        <f>S365+S885+S100</f>
        <v>545.65899999999999</v>
      </c>
      <c r="T2383" s="216">
        <v>295</v>
      </c>
      <c r="U2383" s="440">
        <f>U365+U885</f>
        <v>634.22929999999997</v>
      </c>
      <c r="V2383" s="440">
        <f>V365+V885</f>
        <v>572.32839999999999</v>
      </c>
    </row>
    <row r="2384" spans="1:22" x14ac:dyDescent="0.2">
      <c r="A2384" s="293"/>
      <c r="B2384" s="340"/>
      <c r="C2384" s="359"/>
      <c r="D2384" s="359"/>
      <c r="E2384" s="384">
        <v>7500</v>
      </c>
      <c r="G2384" s="440">
        <f t="shared" ref="G2384:L2384" si="780">G2325+G2290+G2266+G2226+G1584+G2283</f>
        <v>30620.45721</v>
      </c>
      <c r="H2384" s="440">
        <f t="shared" si="780"/>
        <v>739.95</v>
      </c>
      <c r="I2384" s="440">
        <f t="shared" si="780"/>
        <v>42601.639869999999</v>
      </c>
      <c r="J2384" s="440">
        <f t="shared" si="780"/>
        <v>739.95</v>
      </c>
      <c r="K2384" s="41">
        <f t="shared" si="780"/>
        <v>11981.182659999999</v>
      </c>
      <c r="L2384" s="41">
        <f t="shared" si="780"/>
        <v>0</v>
      </c>
      <c r="N2384" s="295" t="e">
        <f>N1584+N1508</f>
        <v>#REF!</v>
      </c>
      <c r="R2384" s="41">
        <f>R2325+R2290+R2266+R2226+R1584+R2283</f>
        <v>31602.030999999995</v>
      </c>
      <c r="S2384" s="41">
        <f>S2325+S2290+S2266+S2226+S1584+S2283</f>
        <v>3080.8616000000002</v>
      </c>
      <c r="T2384" s="216">
        <v>1500</v>
      </c>
      <c r="U2384" s="440" t="e">
        <f>U2325+U2290+U2266+U2226+U1584</f>
        <v>#REF!</v>
      </c>
      <c r="V2384" s="440" t="e">
        <f>V2325+V2290+V2266+V2226+V1584</f>
        <v>#REF!</v>
      </c>
    </row>
    <row r="2385" spans="1:24" x14ac:dyDescent="0.2">
      <c r="A2385" s="293"/>
      <c r="B2385" s="340"/>
      <c r="C2385" s="359"/>
      <c r="D2385" s="359"/>
      <c r="E2385" s="384">
        <v>7200</v>
      </c>
      <c r="G2385" s="483">
        <f t="shared" ref="G2385:L2385" si="781">G75</f>
        <v>5000</v>
      </c>
      <c r="H2385" s="483">
        <f t="shared" si="781"/>
        <v>0</v>
      </c>
      <c r="I2385" s="483">
        <f t="shared" si="781"/>
        <v>5520</v>
      </c>
      <c r="J2385" s="483">
        <f t="shared" si="781"/>
        <v>0</v>
      </c>
      <c r="K2385" s="295">
        <f t="shared" si="781"/>
        <v>520</v>
      </c>
      <c r="L2385" s="295">
        <f t="shared" si="781"/>
        <v>0</v>
      </c>
      <c r="N2385" s="295" t="e">
        <f>#REF!</f>
        <v>#REF!</v>
      </c>
      <c r="R2385" s="295" t="e">
        <f>R75</f>
        <v>#REF!</v>
      </c>
      <c r="S2385" s="295" t="e">
        <f>S75</f>
        <v>#REF!</v>
      </c>
      <c r="T2385" s="216">
        <v>100</v>
      </c>
      <c r="U2385" s="483" t="e">
        <f>U75</f>
        <v>#REF!</v>
      </c>
      <c r="V2385" s="483" t="e">
        <f>V75</f>
        <v>#REF!</v>
      </c>
    </row>
    <row r="2386" spans="1:24" x14ac:dyDescent="0.2">
      <c r="A2386" s="293"/>
      <c r="B2386" s="340"/>
      <c r="C2386" s="359"/>
      <c r="D2386" s="359"/>
      <c r="E2386" s="384">
        <v>7800</v>
      </c>
      <c r="G2386" s="440">
        <f t="shared" ref="G2386:L2386" si="782">G810+G897+G1016+G1064+G1074+G1102</f>
        <v>944024.61814999999</v>
      </c>
      <c r="H2386" s="440">
        <f t="shared" si="782"/>
        <v>64232.9</v>
      </c>
      <c r="I2386" s="440">
        <f t="shared" si="782"/>
        <v>1050189.8877400002</v>
      </c>
      <c r="J2386" s="440">
        <f t="shared" si="782"/>
        <v>86910.8</v>
      </c>
      <c r="K2386" s="41">
        <f t="shared" si="782"/>
        <v>106165.26959000007</v>
      </c>
      <c r="L2386" s="41">
        <f t="shared" si="782"/>
        <v>22677.9</v>
      </c>
      <c r="N2386" s="295" t="e">
        <f>N810+N897+N1074+N1102</f>
        <v>#REF!</v>
      </c>
      <c r="R2386" s="41" t="e">
        <f>R810+R897+R1016+R1064+R1074+R1102</f>
        <v>#REF!</v>
      </c>
      <c r="S2386" s="41" t="e">
        <f>S810+S897+S1016+S1064+S1074+S1102</f>
        <v>#REF!</v>
      </c>
      <c r="T2386" s="216">
        <v>30</v>
      </c>
      <c r="U2386" s="440" t="e">
        <f>U810+U897+U1016+U1064+U1074+U1102</f>
        <v>#REF!</v>
      </c>
      <c r="V2386" s="440" t="e">
        <f>V810+V897+V1016+V1064+V1074+V1102</f>
        <v>#REF!</v>
      </c>
    </row>
    <row r="2387" spans="1:24" x14ac:dyDescent="0.2">
      <c r="A2387" s="293"/>
      <c r="B2387" s="340"/>
      <c r="C2387" s="359"/>
      <c r="D2387" s="359"/>
      <c r="E2387" s="384">
        <v>7900</v>
      </c>
      <c r="G2387" s="483">
        <v>0</v>
      </c>
      <c r="H2387" s="483"/>
      <c r="I2387" s="483"/>
      <c r="J2387" s="483"/>
      <c r="K2387" s="295"/>
      <c r="L2387" s="295"/>
      <c r="N2387" s="295" t="e">
        <f>#REF!+#REF!+N645+N370+N227+#REF!</f>
        <v>#REF!</v>
      </c>
      <c r="R2387" s="295">
        <v>0</v>
      </c>
      <c r="S2387" s="295">
        <v>0</v>
      </c>
      <c r="T2387" s="216">
        <v>1150</v>
      </c>
      <c r="U2387" s="483">
        <v>0</v>
      </c>
      <c r="V2387" s="483">
        <v>0</v>
      </c>
    </row>
    <row r="2388" spans="1:24" x14ac:dyDescent="0.2">
      <c r="A2388" s="293"/>
      <c r="B2388" s="340"/>
      <c r="C2388" s="359"/>
      <c r="D2388" s="359"/>
      <c r="E2388" s="384">
        <v>7600</v>
      </c>
      <c r="G2388" s="483">
        <f t="shared" ref="G2388:L2388" si="783">G1890</f>
        <v>300</v>
      </c>
      <c r="H2388" s="483">
        <f t="shared" si="783"/>
        <v>0</v>
      </c>
      <c r="I2388" s="483">
        <f t="shared" si="783"/>
        <v>300</v>
      </c>
      <c r="J2388" s="483">
        <f t="shared" si="783"/>
        <v>0</v>
      </c>
      <c r="K2388" s="295">
        <f t="shared" si="783"/>
        <v>0</v>
      </c>
      <c r="L2388" s="295">
        <f t="shared" si="783"/>
        <v>0</v>
      </c>
      <c r="N2388" s="295">
        <f>N1890</f>
        <v>500</v>
      </c>
      <c r="R2388" s="295">
        <f>R1890</f>
        <v>200</v>
      </c>
      <c r="S2388" s="295">
        <f>S1890</f>
        <v>0</v>
      </c>
      <c r="T2388" s="216">
        <f>9.3+0.3</f>
        <v>9.6000000000000014</v>
      </c>
      <c r="U2388" s="483">
        <f>U1890</f>
        <v>200</v>
      </c>
      <c r="V2388" s="483">
        <f>V1890</f>
        <v>0</v>
      </c>
    </row>
    <row r="2389" spans="1:24" x14ac:dyDescent="0.2">
      <c r="A2389" s="293"/>
      <c r="B2389" s="340"/>
      <c r="C2389" s="359"/>
      <c r="D2389" s="359"/>
      <c r="E2389" s="384">
        <v>7700</v>
      </c>
      <c r="G2389" s="440">
        <f t="shared" ref="G2389:L2389" si="784">G1523</f>
        <v>248.768</v>
      </c>
      <c r="H2389" s="440">
        <f t="shared" si="784"/>
        <v>0</v>
      </c>
      <c r="I2389" s="440">
        <f t="shared" si="784"/>
        <v>248.768</v>
      </c>
      <c r="J2389" s="440">
        <f t="shared" si="784"/>
        <v>0</v>
      </c>
      <c r="K2389" s="41">
        <f t="shared" si="784"/>
        <v>0</v>
      </c>
      <c r="L2389" s="41">
        <f t="shared" si="784"/>
        <v>0</v>
      </c>
      <c r="N2389" s="295" t="e">
        <f>N1523</f>
        <v>#REF!</v>
      </c>
      <c r="R2389" s="41">
        <f>R1523</f>
        <v>175.1</v>
      </c>
      <c r="S2389" s="41">
        <f>S1523</f>
        <v>0</v>
      </c>
      <c r="T2389" s="216">
        <v>577.70000000000005</v>
      </c>
      <c r="U2389" s="440">
        <f>U1523</f>
        <v>168.3</v>
      </c>
      <c r="V2389" s="440">
        <f>V1523</f>
        <v>0</v>
      </c>
    </row>
    <row r="2390" spans="1:24" x14ac:dyDescent="0.2">
      <c r="A2390" s="293"/>
      <c r="B2390" s="340"/>
      <c r="C2390" s="359"/>
      <c r="D2390" s="359"/>
      <c r="E2390" s="384" t="s">
        <v>1571</v>
      </c>
      <c r="G2390" s="440">
        <f>G974+G1171+G1433+G2060</f>
        <v>50244.331560000006</v>
      </c>
      <c r="H2390" s="440">
        <f t="shared" ref="H2390:L2390" si="785">H974+H1171+H1433+H2060</f>
        <v>0</v>
      </c>
      <c r="I2390" s="440">
        <f t="shared" si="785"/>
        <v>130242.45396</v>
      </c>
      <c r="J2390" s="440">
        <f t="shared" si="785"/>
        <v>0</v>
      </c>
      <c r="K2390" s="440">
        <f t="shared" si="785"/>
        <v>79998.122399999993</v>
      </c>
      <c r="L2390" s="440">
        <f t="shared" si="785"/>
        <v>0</v>
      </c>
      <c r="N2390" s="295"/>
      <c r="R2390" s="41">
        <f>R974+R1171+R1433</f>
        <v>94110.702309999993</v>
      </c>
      <c r="S2390" s="41">
        <f>S974+S1171+S1433</f>
        <v>0</v>
      </c>
      <c r="U2390" s="440"/>
      <c r="V2390" s="440"/>
    </row>
    <row r="2391" spans="1:24" x14ac:dyDescent="0.2">
      <c r="A2391" s="293"/>
      <c r="B2391" s="340"/>
      <c r="C2391" s="359"/>
      <c r="D2391" s="359"/>
      <c r="E2391" s="384" t="s">
        <v>1369</v>
      </c>
      <c r="G2391" s="550">
        <f t="shared" ref="G2391:L2391" si="786">G181</f>
        <v>150</v>
      </c>
      <c r="H2391" s="550">
        <f t="shared" si="786"/>
        <v>0</v>
      </c>
      <c r="I2391" s="550">
        <f t="shared" si="786"/>
        <v>275</v>
      </c>
      <c r="J2391" s="550">
        <f t="shared" si="786"/>
        <v>0</v>
      </c>
      <c r="K2391" s="609">
        <f t="shared" si="786"/>
        <v>125</v>
      </c>
      <c r="L2391" s="609">
        <f t="shared" si="786"/>
        <v>0</v>
      </c>
      <c r="N2391" s="295"/>
      <c r="R2391" s="609">
        <f>R181</f>
        <v>150</v>
      </c>
      <c r="S2391" s="609">
        <f>S181</f>
        <v>0</v>
      </c>
      <c r="U2391" s="440">
        <f>U181</f>
        <v>99</v>
      </c>
      <c r="V2391" s="440">
        <f>V181</f>
        <v>0</v>
      </c>
    </row>
    <row r="2392" spans="1:24" x14ac:dyDescent="0.2">
      <c r="A2392" s="293"/>
      <c r="B2392" s="340"/>
      <c r="C2392" s="359"/>
      <c r="D2392" s="359"/>
      <c r="E2392" s="384" t="s">
        <v>1970</v>
      </c>
      <c r="G2392" s="550">
        <f t="shared" ref="G2392:L2392" si="787">G1498</f>
        <v>338</v>
      </c>
      <c r="H2392" s="550">
        <f t="shared" si="787"/>
        <v>0</v>
      </c>
      <c r="I2392" s="550">
        <f t="shared" si="787"/>
        <v>338</v>
      </c>
      <c r="J2392" s="550">
        <f t="shared" si="787"/>
        <v>0</v>
      </c>
      <c r="K2392" s="609">
        <f t="shared" si="787"/>
        <v>0</v>
      </c>
      <c r="L2392" s="609">
        <f t="shared" si="787"/>
        <v>0</v>
      </c>
      <c r="N2392" s="295"/>
      <c r="R2392" s="609"/>
      <c r="S2392" s="609"/>
      <c r="U2392" s="440"/>
      <c r="V2392" s="440"/>
    </row>
    <row r="2393" spans="1:24" x14ac:dyDescent="0.2">
      <c r="A2393" s="293"/>
      <c r="B2393" s="336"/>
      <c r="C2393" s="359"/>
      <c r="D2393" s="359"/>
      <c r="E2393" s="384">
        <v>8000</v>
      </c>
      <c r="G2393" s="440">
        <f t="shared" ref="G2393:L2393" si="788">G2180+G2138+G2067+G1821</f>
        <v>8377.8788199999981</v>
      </c>
      <c r="H2393" s="440">
        <f t="shared" si="788"/>
        <v>0</v>
      </c>
      <c r="I2393" s="440">
        <f t="shared" si="788"/>
        <v>8447.3788199999999</v>
      </c>
      <c r="J2393" s="440">
        <f t="shared" si="788"/>
        <v>0</v>
      </c>
      <c r="K2393" s="41">
        <f t="shared" si="788"/>
        <v>69.500000000000568</v>
      </c>
      <c r="L2393" s="41">
        <f t="shared" si="788"/>
        <v>0</v>
      </c>
      <c r="N2393" s="295" t="e">
        <f>#REF!+N839</f>
        <v>#REF!</v>
      </c>
      <c r="R2393" s="440">
        <f>R2180+R2138+R2067+R1821</f>
        <v>2486.5614999999998</v>
      </c>
      <c r="S2393" s="440">
        <f>S2180+S2138+S2067+S1821</f>
        <v>0</v>
      </c>
      <c r="U2393" s="440">
        <f>U2180+U2138+U2067</f>
        <v>5682.6390000000001</v>
      </c>
      <c r="V2393" s="440">
        <f>V2180+V2138+V2067</f>
        <v>0</v>
      </c>
      <c r="X2393" s="167">
        <f>949.9-146.3+11708.6</f>
        <v>12512.2</v>
      </c>
    </row>
    <row r="2394" spans="1:24" x14ac:dyDescent="0.2">
      <c r="A2394" s="293"/>
      <c r="B2394" s="336"/>
      <c r="C2394" s="359"/>
      <c r="D2394" s="359"/>
      <c r="E2394" s="384">
        <v>8100</v>
      </c>
      <c r="G2394" s="550">
        <f t="shared" ref="G2394:L2394" si="789">G381+G286+G496+G1411+G359</f>
        <v>9324.2801199999994</v>
      </c>
      <c r="H2394" s="550">
        <f t="shared" si="789"/>
        <v>158.97552999999999</v>
      </c>
      <c r="I2394" s="550">
        <f t="shared" si="789"/>
        <v>11626.880210000001</v>
      </c>
      <c r="J2394" s="550">
        <f t="shared" si="789"/>
        <v>158.97552999999999</v>
      </c>
      <c r="K2394" s="609">
        <f t="shared" si="789"/>
        <v>2302.6000900000008</v>
      </c>
      <c r="L2394" s="609">
        <f t="shared" si="789"/>
        <v>0</v>
      </c>
      <c r="N2394" s="295">
        <f>N381+N286</f>
        <v>324.5</v>
      </c>
      <c r="R2394" s="609">
        <f>R381+R286+R496+R1411</f>
        <v>8634.0213499999991</v>
      </c>
      <c r="S2394" s="609">
        <f>S381+S286+S496+S1411</f>
        <v>1575.0174400000001</v>
      </c>
      <c r="U2394" s="440">
        <f>U381+U286+U496+U1411</f>
        <v>10384.675370000001</v>
      </c>
      <c r="V2394" s="440">
        <f>V381+V286+V496+V1411</f>
        <v>0</v>
      </c>
    </row>
    <row r="2395" spans="1:24" x14ac:dyDescent="0.2">
      <c r="A2395" s="293"/>
      <c r="B2395" s="336"/>
      <c r="C2395" s="359"/>
      <c r="D2395" s="359"/>
      <c r="E2395" s="384">
        <v>8200</v>
      </c>
      <c r="G2395" s="440">
        <f t="shared" ref="G2395:L2395" si="790">G1618+G1325+G978+G668+G501+G104+G1175+G1770+G448+G1903+G322+G2248+G1549+G185+G1093+G1054</f>
        <v>835</v>
      </c>
      <c r="H2395" s="440">
        <f t="shared" si="790"/>
        <v>0</v>
      </c>
      <c r="I2395" s="440">
        <f t="shared" si="790"/>
        <v>835</v>
      </c>
      <c r="J2395" s="440">
        <f t="shared" si="790"/>
        <v>0</v>
      </c>
      <c r="K2395" s="41">
        <f t="shared" si="790"/>
        <v>0</v>
      </c>
      <c r="L2395" s="41">
        <f t="shared" si="790"/>
        <v>0</v>
      </c>
      <c r="N2395" s="295"/>
      <c r="R2395" s="41" t="e">
        <f>R1618+R1325+R978+R668+R501+R104+R1175+R1770+R448+R1903+R322</f>
        <v>#REF!</v>
      </c>
      <c r="S2395" s="41" t="e">
        <f>S1618+S1325+S978+S668+S501+S104+S1175+S1770+S448+S1903+S322</f>
        <v>#REF!</v>
      </c>
      <c r="U2395" s="440">
        <f>U1618+U1325+U978+U668+U501+U104+U1175</f>
        <v>775</v>
      </c>
      <c r="V2395" s="440">
        <f>V1618+V1325+V978+V668+V501+V104+V1175</f>
        <v>0</v>
      </c>
    </row>
    <row r="2396" spans="1:24" x14ac:dyDescent="0.2">
      <c r="A2396" s="293"/>
      <c r="B2396" s="336"/>
      <c r="C2396" s="359"/>
      <c r="D2396" s="359"/>
      <c r="E2396" s="384">
        <v>8300</v>
      </c>
      <c r="G2396" s="550">
        <f t="shared" ref="G2396:L2396" si="791">G1627+G1464</f>
        <v>60144.379860000001</v>
      </c>
      <c r="H2396" s="550">
        <f t="shared" si="791"/>
        <v>59437.095869999997</v>
      </c>
      <c r="I2396" s="550">
        <f t="shared" si="791"/>
        <v>60144.379860000001</v>
      </c>
      <c r="J2396" s="550">
        <f t="shared" si="791"/>
        <v>59437.095869999997</v>
      </c>
      <c r="K2396" s="609">
        <f t="shared" si="791"/>
        <v>0</v>
      </c>
      <c r="L2396" s="609">
        <f t="shared" si="791"/>
        <v>0</v>
      </c>
      <c r="N2396" s="295"/>
      <c r="R2396" s="609">
        <f>R1627+R1464</f>
        <v>39809.501449999996</v>
      </c>
      <c r="S2396" s="609">
        <f>S1627+S1464</f>
        <v>39304.3128</v>
      </c>
      <c r="U2396" s="440">
        <f>U1627</f>
        <v>10934.0231</v>
      </c>
      <c r="V2396" s="440">
        <f>V1627</f>
        <v>10704.638010000001</v>
      </c>
    </row>
    <row r="2397" spans="1:24" x14ac:dyDescent="0.2">
      <c r="A2397" s="293"/>
      <c r="B2397" s="336"/>
      <c r="C2397" s="359"/>
      <c r="D2397" s="359"/>
      <c r="E2397" s="384">
        <v>84000</v>
      </c>
      <c r="G2397" s="551">
        <f t="shared" ref="G2397:L2397" si="792">G2071</f>
        <v>77137.41</v>
      </c>
      <c r="H2397" s="551">
        <f t="shared" si="792"/>
        <v>52537.1</v>
      </c>
      <c r="I2397" s="551">
        <f t="shared" si="792"/>
        <v>77137.41</v>
      </c>
      <c r="J2397" s="551">
        <f t="shared" si="792"/>
        <v>52537.1</v>
      </c>
      <c r="K2397" s="608">
        <f t="shared" si="792"/>
        <v>0</v>
      </c>
      <c r="L2397" s="608">
        <f t="shared" si="792"/>
        <v>0</v>
      </c>
      <c r="N2397" s="295">
        <f>N1536</f>
        <v>220</v>
      </c>
      <c r="R2397" s="608">
        <f>R2071</f>
        <v>28612</v>
      </c>
      <c r="S2397" s="608">
        <f>S2071</f>
        <v>0</v>
      </c>
      <c r="T2397" s="216">
        <f>SUM(T2382:T2396)</f>
        <v>507284.7</v>
      </c>
      <c r="U2397" s="483">
        <v>0</v>
      </c>
      <c r="V2397" s="483">
        <v>0</v>
      </c>
    </row>
    <row r="2398" spans="1:24" x14ac:dyDescent="0.2">
      <c r="A2398" s="293"/>
      <c r="B2398" s="336"/>
      <c r="C2398" s="359"/>
      <c r="D2398" s="359"/>
      <c r="E2398" s="384">
        <v>8500</v>
      </c>
      <c r="G2398" s="440">
        <f t="shared" ref="G2398:L2398" si="793">G2190+G1907+G2104+G1877</f>
        <v>89193.647000000012</v>
      </c>
      <c r="H2398" s="440">
        <f t="shared" si="793"/>
        <v>50000</v>
      </c>
      <c r="I2398" s="440">
        <f t="shared" si="793"/>
        <v>108553.06228000001</v>
      </c>
      <c r="J2398" s="440">
        <f t="shared" si="793"/>
        <v>50000</v>
      </c>
      <c r="K2398" s="41">
        <f t="shared" si="793"/>
        <v>19359.415279999994</v>
      </c>
      <c r="L2398" s="41">
        <f t="shared" si="793"/>
        <v>0</v>
      </c>
      <c r="N2398" s="295"/>
      <c r="R2398" s="440">
        <f>R2190+R1907</f>
        <v>28492.5376</v>
      </c>
      <c r="S2398" s="440">
        <f>S2190+S1907</f>
        <v>0</v>
      </c>
      <c r="T2398" s="216">
        <f>T2397-G2366</f>
        <v>-1426064.0677599998</v>
      </c>
      <c r="U2398" s="440" t="e">
        <f>U1821+U2190</f>
        <v>#REF!</v>
      </c>
      <c r="V2398" s="440" t="e">
        <f>V1821+V2190</f>
        <v>#REF!</v>
      </c>
    </row>
    <row r="2399" spans="1:24" x14ac:dyDescent="0.2">
      <c r="A2399" s="293"/>
      <c r="B2399" s="336"/>
      <c r="C2399" s="359"/>
      <c r="D2399" s="359"/>
      <c r="E2399" s="513">
        <v>8600</v>
      </c>
      <c r="G2399" s="440">
        <f t="shared" ref="G2399:L2399" si="794">G2037</f>
        <v>0</v>
      </c>
      <c r="H2399" s="440">
        <f t="shared" si="794"/>
        <v>0</v>
      </c>
      <c r="I2399" s="440">
        <f t="shared" si="794"/>
        <v>0</v>
      </c>
      <c r="J2399" s="440">
        <f t="shared" si="794"/>
        <v>0</v>
      </c>
      <c r="K2399" s="41">
        <f t="shared" si="794"/>
        <v>0</v>
      </c>
      <c r="L2399" s="41">
        <f t="shared" si="794"/>
        <v>0</v>
      </c>
      <c r="N2399" s="295"/>
      <c r="R2399" s="41">
        <f>R2037</f>
        <v>94116.808200000014</v>
      </c>
      <c r="S2399" s="41">
        <f>S2037</f>
        <v>92234.472120000006</v>
      </c>
      <c r="U2399" s="440">
        <f>U2037</f>
        <v>218772.46712000002</v>
      </c>
      <c r="V2399" s="440">
        <f>V2037</f>
        <v>214540.42853</v>
      </c>
    </row>
    <row r="2400" spans="1:24" x14ac:dyDescent="0.2">
      <c r="A2400" s="293"/>
      <c r="B2400" s="336"/>
      <c r="C2400" s="359"/>
      <c r="D2400" s="359"/>
      <c r="E2400" s="384">
        <v>8700</v>
      </c>
      <c r="G2400" s="440">
        <f t="shared" ref="G2400:L2400" si="795">G1348</f>
        <v>1082</v>
      </c>
      <c r="H2400" s="440">
        <f t="shared" si="795"/>
        <v>0</v>
      </c>
      <c r="I2400" s="440">
        <f t="shared" si="795"/>
        <v>1082</v>
      </c>
      <c r="J2400" s="440">
        <f t="shared" si="795"/>
        <v>0</v>
      </c>
      <c r="K2400" s="41">
        <f t="shared" si="795"/>
        <v>0</v>
      </c>
      <c r="L2400" s="41">
        <f t="shared" si="795"/>
        <v>0</v>
      </c>
      <c r="N2400" s="295"/>
      <c r="R2400" s="41">
        <f>R1348</f>
        <v>0</v>
      </c>
      <c r="S2400" s="41">
        <f>S1348</f>
        <v>0</v>
      </c>
      <c r="U2400" s="440">
        <f>U1348</f>
        <v>1300</v>
      </c>
      <c r="V2400" s="440">
        <f>V1348</f>
        <v>0</v>
      </c>
    </row>
    <row r="2401" spans="1:22" x14ac:dyDescent="0.2">
      <c r="A2401" s="293"/>
      <c r="B2401" s="336"/>
      <c r="C2401" s="359"/>
      <c r="D2401" s="359"/>
      <c r="E2401" s="384" t="s">
        <v>1204</v>
      </c>
      <c r="G2401" s="550">
        <f t="shared" ref="G2401:L2401" si="796">G108</f>
        <v>0</v>
      </c>
      <c r="H2401" s="550">
        <f t="shared" si="796"/>
        <v>0</v>
      </c>
      <c r="I2401" s="550">
        <f t="shared" si="796"/>
        <v>0</v>
      </c>
      <c r="J2401" s="550">
        <f t="shared" si="796"/>
        <v>0</v>
      </c>
      <c r="K2401" s="609">
        <f t="shared" si="796"/>
        <v>0</v>
      </c>
      <c r="L2401" s="609">
        <f t="shared" si="796"/>
        <v>0</v>
      </c>
      <c r="N2401" s="295"/>
      <c r="R2401" s="609">
        <f>R108</f>
        <v>1000</v>
      </c>
      <c r="S2401" s="609">
        <f>S108</f>
        <v>0</v>
      </c>
      <c r="U2401" s="440">
        <f>U108</f>
        <v>150</v>
      </c>
      <c r="V2401" s="440">
        <f>V108</f>
        <v>0</v>
      </c>
    </row>
    <row r="2402" spans="1:22" x14ac:dyDescent="0.2">
      <c r="A2402" s="293"/>
      <c r="B2402" s="336"/>
      <c r="C2402" s="359"/>
      <c r="D2402" s="359"/>
      <c r="E2402" s="384" t="s">
        <v>1208</v>
      </c>
      <c r="G2402" s="550">
        <f t="shared" ref="G2402:L2402" si="797">G1970+G1491+G1484+G983+G856+G112+G2085+G672+G1446+G2052+G189+G1425</f>
        <v>371940.72320999997</v>
      </c>
      <c r="H2402" s="550">
        <f t="shared" si="797"/>
        <v>323287.89089999994</v>
      </c>
      <c r="I2402" s="550">
        <f t="shared" si="797"/>
        <v>371940.72320999997</v>
      </c>
      <c r="J2402" s="550">
        <f t="shared" si="797"/>
        <v>323287.89089999994</v>
      </c>
      <c r="K2402" s="609">
        <f t="shared" si="797"/>
        <v>0</v>
      </c>
      <c r="L2402" s="609">
        <f t="shared" si="797"/>
        <v>0</v>
      </c>
      <c r="N2402" s="295"/>
      <c r="R2402" s="609">
        <f>R1970+R1491+R1484+R983+R856+R112</f>
        <v>223292.826</v>
      </c>
      <c r="S2402" s="609">
        <f>S1970+S1491+S1484+S983+S856+S112</f>
        <v>204908.09999999998</v>
      </c>
      <c r="U2402" s="440">
        <f>U112+U176+U189+U212+U471+U672+U716+U787+U983+U1192+U1478+U1644+U1970</f>
        <v>197291.75000000003</v>
      </c>
      <c r="V2402" s="440">
        <f>V112+V176+V189+V212+V471+V672+V716+V787+V983+V1192+V1478+V1644+V1970</f>
        <v>157219.82829999999</v>
      </c>
    </row>
    <row r="2403" spans="1:22" x14ac:dyDescent="0.2">
      <c r="A2403" s="293"/>
      <c r="B2403" s="336"/>
      <c r="C2403" s="359"/>
      <c r="D2403" s="359"/>
      <c r="E2403" s="384"/>
      <c r="G2403" s="483">
        <f t="shared" ref="G2403:L2403" si="798">SUM(G2378:G2402)</f>
        <v>1810921.7143599999</v>
      </c>
      <c r="H2403" s="483">
        <f t="shared" si="798"/>
        <v>552445.20230999996</v>
      </c>
      <c r="I2403" s="483">
        <f t="shared" si="798"/>
        <v>2061421.5845700002</v>
      </c>
      <c r="J2403" s="483">
        <f t="shared" si="798"/>
        <v>575123.10230999999</v>
      </c>
      <c r="K2403" s="295">
        <f t="shared" si="798"/>
        <v>250499.87021000002</v>
      </c>
      <c r="L2403" s="295">
        <f t="shared" si="798"/>
        <v>22677.9</v>
      </c>
      <c r="M2403" s="167">
        <f>G2403/G2366*100</f>
        <v>93.667616756916274</v>
      </c>
      <c r="N2403" s="295" t="e">
        <f>SUM(N2381:N2397)</f>
        <v>#REF!</v>
      </c>
      <c r="P2403" s="167">
        <f>I2403/I2406*100</f>
        <v>92.864877389035883</v>
      </c>
      <c r="R2403" s="295" t="e">
        <f>SUM(R2378:R2402)</f>
        <v>#REF!</v>
      </c>
      <c r="S2403" s="295" t="e">
        <f>SUM(S2378:S2402)</f>
        <v>#REF!</v>
      </c>
      <c r="U2403" s="483" t="e">
        <f>SUM(U2378:U2402)</f>
        <v>#REF!</v>
      </c>
      <c r="V2403" s="483" t="e">
        <f>SUM(V2378:V2402)</f>
        <v>#REF!</v>
      </c>
    </row>
    <row r="2404" spans="1:22" x14ac:dyDescent="0.2">
      <c r="A2404" s="293"/>
      <c r="B2404" s="336"/>
      <c r="C2404" s="359"/>
      <c r="D2404" s="359"/>
      <c r="E2404" s="384" t="s">
        <v>264</v>
      </c>
      <c r="G2404" s="483">
        <f t="shared" ref="G2404:L2404" si="799">G14+G43+G66+G126+G207+G219+G238+G280+G329+G466+G477+G517+G562+G677+G720+G740+G791+G863+G990+G1058+G1196+G1222+G1234+G1248+G1279+G1283+G1359+G1416+G1450+G1502+G1516+G1532+G1553+G1563+G1596+G1609+G1648+G1710+G1764+G1814+G1774+G1864+G1870+G1985+G2025+G2089+G2163+G2170+G2195+G2213+G2279+G2340+G1527+G2319+G2133+G485+G1886+G2056+G2261+G1700</f>
        <v>122427.05339999999</v>
      </c>
      <c r="H2404" s="483">
        <f t="shared" si="799"/>
        <v>11.7</v>
      </c>
      <c r="I2404" s="483">
        <f t="shared" si="799"/>
        <v>158385.99234000006</v>
      </c>
      <c r="J2404" s="483">
        <f t="shared" si="799"/>
        <v>1968.9404000000002</v>
      </c>
      <c r="K2404" s="483">
        <f t="shared" si="799"/>
        <v>35958.93894</v>
      </c>
      <c r="L2404" s="483">
        <f t="shared" si="799"/>
        <v>1957.2404000000001</v>
      </c>
      <c r="M2404" s="167">
        <f>G2404/G2406*100</f>
        <v>6.3323832430837292</v>
      </c>
      <c r="N2404" s="295" t="e">
        <f>N2025+N1985+N1774+N1710+N1609+N1563+N1532+N1516+N1359+N1248+N1234+N1222+N740+#REF!+N329+N238+N66+N43+N14+N2089+#REF!+N1553+N794+N668+N1283+N1279+N2195+N720+N1425+N1196+#REF!+N1648+N791+#REF!+N1450+N517+N466+N1864+N990</f>
        <v>#REF!</v>
      </c>
      <c r="P2404" s="167">
        <f>I2404/I2406*100</f>
        <v>7.1351226109641148</v>
      </c>
      <c r="R2404" s="483" t="e">
        <f>R14+R43+R66+R126+R207+R219+R238+R280+R329+R466+R477+R517+R562+R677+R720+R740+R791+R863+R990+R1058+R1196+R1222+R1234+R1248+R1279+R1283+R1359+R1416+R1425+R1450+R1502+R1516+R1532+R1553+R1563+R1596+R1609+R1648+R1710+R1764+R1814+R1774+R1864+R1870+R1985+R2025+R2089+R2163+R2170+R2195+R2213+R2279+R2340+R1527+R2319+R2133+R485+R1886</f>
        <v>#REF!</v>
      </c>
      <c r="S2404" s="483" t="e">
        <f>S14+S43+S66+S126+S207+S219+S238+S280+S329+S466+S477+S517+S562+S677+S720+S740+S791+S863+S990+S1058+S1196+S1222+S1234+S1248+S1279+S1283+S1359+S1416+S1425+S1450+S1502+S1516+S1532+S1553+S1563+S1596+S1609+S1648+S1710+S1764+S1814+S1774+S1864+S1870+S1985+S2025+S2089+S2163+S2170+S2195+S2213+S2279+S2340+S1527+S2319+S2133+S485+S1886</f>
        <v>#REF!</v>
      </c>
      <c r="U2404" s="483" t="e">
        <f>U14+U43+U66+U126+U207+U219+U238+U280+U329+U466+U477+U517+U562+U677+U720+U740+U791+U863+U990+U1058+U1196+U1222+U1234+U1248+U1279+U1283+U1359+U1416+U1425+U1450+U1502+U1516+U1532+U1553+U1563+U1596+U1609+U1648+U1710+U1764+U1814+U1774+U1864+U1870+U1985+U2025+U2089+U2163+U2170+U2195+U2213+U2279+U2340</f>
        <v>#REF!</v>
      </c>
      <c r="V2404" s="483" t="e">
        <f>V14+V43+V66+V126+V207+V219+V238+V280+V329+V466+V477+V517+V562+V677+V720+V740+V791+V863+V990+V1058+V1196+V1222+V1234+V1248+V1279+V1283+V1359+V1416+V1425+V1450+V1502+V1516+V1532+V1553+V1563+V1596+V1609+V1648+V1710+V1764+V1814+V1774+V1864+V1870+V1985+V2025+V2089+V2163+V2170+V2195+V2213+V2279+V2340</f>
        <v>#REF!</v>
      </c>
    </row>
    <row r="2405" spans="1:22" x14ac:dyDescent="0.2">
      <c r="A2405" s="293"/>
      <c r="B2405" s="336"/>
      <c r="C2405" s="359"/>
      <c r="D2405" s="359"/>
      <c r="E2405" s="384"/>
      <c r="F2405" s="384"/>
      <c r="G2405" s="593">
        <f t="shared" ref="G2405:L2405" si="800">G2404+G2403-G2366</f>
        <v>0</v>
      </c>
      <c r="H2405" s="593">
        <f t="shared" si="800"/>
        <v>0</v>
      </c>
      <c r="I2405" s="593">
        <f>I2404+I2403-I2366</f>
        <v>0</v>
      </c>
      <c r="J2405" s="593">
        <f>J2404+J2403-J2366</f>
        <v>0</v>
      </c>
      <c r="K2405" s="594">
        <f t="shared" si="800"/>
        <v>0</v>
      </c>
      <c r="L2405" s="594">
        <f t="shared" si="800"/>
        <v>-3.2741809263825417E-11</v>
      </c>
      <c r="N2405" s="297" t="e">
        <f>N2404+N2403-N2366</f>
        <v>#REF!</v>
      </c>
      <c r="R2405" s="594" t="e">
        <f>R2404+R2403-R2366</f>
        <v>#REF!</v>
      </c>
      <c r="S2405" s="594" t="e">
        <f>S2404+S2403-S2366</f>
        <v>#REF!</v>
      </c>
      <c r="U2405" s="484" t="e">
        <f>U2404+U2403-U2366</f>
        <v>#REF!</v>
      </c>
      <c r="V2405" s="484" t="e">
        <f>V2404+V2403-V2366</f>
        <v>#REF!</v>
      </c>
    </row>
    <row r="2406" spans="1:22" x14ac:dyDescent="0.2">
      <c r="A2406" s="123"/>
      <c r="B2406" s="335"/>
      <c r="C2406" s="358"/>
      <c r="D2406" s="358"/>
      <c r="E2406" s="372"/>
      <c r="F2406" s="372"/>
      <c r="G2406" s="440">
        <f>G2404+G2403</f>
        <v>1933348.76776</v>
      </c>
      <c r="H2406" s="440"/>
      <c r="I2406" s="440">
        <f>I2404+I2403</f>
        <v>2219807.5769100003</v>
      </c>
      <c r="J2406" s="440"/>
      <c r="K2406" s="41">
        <f>K2404+K2403</f>
        <v>286458.80915000004</v>
      </c>
      <c r="L2406" s="41"/>
      <c r="N2406" s="41" t="e">
        <f>N2404+N2403</f>
        <v>#REF!</v>
      </c>
      <c r="R2406" s="41" t="e">
        <f>R2404+R2403</f>
        <v>#REF!</v>
      </c>
      <c r="S2406" s="41"/>
      <c r="U2406" s="440" t="e">
        <f>U2404+U2403</f>
        <v>#REF!</v>
      </c>
      <c r="V2406" s="440"/>
    </row>
    <row r="2407" spans="1:22" x14ac:dyDescent="0.2">
      <c r="A2407" s="293"/>
      <c r="B2407" s="336"/>
      <c r="C2407" s="359"/>
      <c r="D2407" s="359"/>
      <c r="E2407" s="384"/>
      <c r="F2407" s="384" t="s">
        <v>140</v>
      </c>
      <c r="G2407" s="483">
        <f t="shared" ref="G2407:L2407" si="801">G1233</f>
        <v>2052.473</v>
      </c>
      <c r="H2407" s="483">
        <f t="shared" si="801"/>
        <v>0</v>
      </c>
      <c r="I2407" s="483">
        <f t="shared" si="801"/>
        <v>2944.924</v>
      </c>
      <c r="J2407" s="483">
        <f t="shared" si="801"/>
        <v>120</v>
      </c>
      <c r="K2407" s="295">
        <f t="shared" si="801"/>
        <v>892.45100000000002</v>
      </c>
      <c r="L2407" s="295">
        <f t="shared" si="801"/>
        <v>120</v>
      </c>
      <c r="N2407" s="295">
        <f>N1233</f>
        <v>1715.7</v>
      </c>
      <c r="R2407" s="295">
        <f>R1233</f>
        <v>2095.5239999999999</v>
      </c>
      <c r="S2407" s="295">
        <f>S1233</f>
        <v>0</v>
      </c>
      <c r="U2407" s="483">
        <f>U1233</f>
        <v>1948.3549999999998</v>
      </c>
      <c r="V2407" s="483">
        <f>V1233</f>
        <v>0</v>
      </c>
    </row>
    <row r="2408" spans="1:22" x14ac:dyDescent="0.2">
      <c r="A2408" s="293"/>
      <c r="B2408" s="336"/>
      <c r="C2408" s="359"/>
      <c r="D2408" s="359"/>
      <c r="E2408" s="384"/>
      <c r="F2408" s="384" t="s">
        <v>141</v>
      </c>
      <c r="G2408" s="483">
        <f t="shared" ref="G2408:L2408" si="802">G13</f>
        <v>2569.2437899999995</v>
      </c>
      <c r="H2408" s="483">
        <f t="shared" si="802"/>
        <v>0</v>
      </c>
      <c r="I2408" s="483">
        <f t="shared" si="802"/>
        <v>3702.7987899999998</v>
      </c>
      <c r="J2408" s="483">
        <f t="shared" si="802"/>
        <v>62.400000000000006</v>
      </c>
      <c r="K2408" s="295">
        <f t="shared" si="802"/>
        <v>1133.5550000000003</v>
      </c>
      <c r="L2408" s="295">
        <f t="shared" si="802"/>
        <v>62.400000000000006</v>
      </c>
      <c r="N2408" s="295">
        <f>N13</f>
        <v>1661.5</v>
      </c>
      <c r="R2408" s="295">
        <f>R13</f>
        <v>2393.8339999999998</v>
      </c>
      <c r="S2408" s="295">
        <f>S13</f>
        <v>0</v>
      </c>
      <c r="U2408" s="483">
        <f>U13</f>
        <v>2055.127</v>
      </c>
      <c r="V2408" s="483">
        <f>V13</f>
        <v>0</v>
      </c>
    </row>
    <row r="2409" spans="1:22" x14ac:dyDescent="0.2">
      <c r="A2409" s="293"/>
      <c r="B2409" s="336"/>
      <c r="C2409" s="359"/>
      <c r="D2409" s="359"/>
      <c r="E2409" s="384"/>
      <c r="F2409" s="384" t="s">
        <v>142</v>
      </c>
      <c r="G2409" s="483">
        <f t="shared" ref="G2409:L2409" si="803">G1247</f>
        <v>15577.790410000001</v>
      </c>
      <c r="H2409" s="483">
        <f t="shared" si="803"/>
        <v>0</v>
      </c>
      <c r="I2409" s="483">
        <f t="shared" si="803"/>
        <v>19903.375870000003</v>
      </c>
      <c r="J2409" s="483">
        <f t="shared" si="803"/>
        <v>461.6</v>
      </c>
      <c r="K2409" s="295">
        <f t="shared" si="803"/>
        <v>4325.5854600000021</v>
      </c>
      <c r="L2409" s="295">
        <f t="shared" si="803"/>
        <v>461.6</v>
      </c>
      <c r="N2409" s="295">
        <f>N1247</f>
        <v>10232.611999999999</v>
      </c>
      <c r="R2409" s="295">
        <f>R1247</f>
        <v>15864.942389999997</v>
      </c>
      <c r="S2409" s="295">
        <f>S1247</f>
        <v>929.346</v>
      </c>
      <c r="U2409" s="483">
        <f>U1247</f>
        <v>11306.860899999998</v>
      </c>
      <c r="V2409" s="483">
        <f>V1247</f>
        <v>759.25700000000006</v>
      </c>
    </row>
    <row r="2410" spans="1:22" x14ac:dyDescent="0.2">
      <c r="A2410" s="293"/>
      <c r="B2410" s="336"/>
      <c r="C2410" s="359"/>
      <c r="D2410" s="359"/>
      <c r="E2410" s="384"/>
      <c r="F2410" s="384" t="s">
        <v>143</v>
      </c>
      <c r="G2410" s="483">
        <f t="shared" ref="G2410:L2410" si="804">G1278</f>
        <v>11.7</v>
      </c>
      <c r="H2410" s="483">
        <f t="shared" si="804"/>
        <v>11.7</v>
      </c>
      <c r="I2410" s="483">
        <f t="shared" si="804"/>
        <v>11.7</v>
      </c>
      <c r="J2410" s="483">
        <f t="shared" si="804"/>
        <v>11.7</v>
      </c>
      <c r="K2410" s="295">
        <f t="shared" si="804"/>
        <v>0</v>
      </c>
      <c r="L2410" s="295">
        <f t="shared" si="804"/>
        <v>0</v>
      </c>
      <c r="N2410" s="295">
        <f>N1278</f>
        <v>13</v>
      </c>
      <c r="R2410" s="295">
        <f>R1278</f>
        <v>105.79</v>
      </c>
      <c r="S2410" s="295">
        <f>S1278</f>
        <v>105.79</v>
      </c>
      <c r="U2410" s="483">
        <f>U1278</f>
        <v>7.3</v>
      </c>
      <c r="V2410" s="483">
        <f>V1278</f>
        <v>7.3</v>
      </c>
    </row>
    <row r="2411" spans="1:22" x14ac:dyDescent="0.2">
      <c r="A2411" s="293"/>
      <c r="B2411" s="336"/>
      <c r="C2411" s="359"/>
      <c r="D2411" s="359"/>
      <c r="E2411" s="384"/>
      <c r="F2411" s="384" t="s">
        <v>144</v>
      </c>
      <c r="G2411" s="483">
        <f t="shared" ref="G2411:L2411" si="805">G1671+G42</f>
        <v>13454.958410000001</v>
      </c>
      <c r="H2411" s="483">
        <f t="shared" si="805"/>
        <v>0</v>
      </c>
      <c r="I2411" s="483">
        <f t="shared" si="805"/>
        <v>17091.464640000002</v>
      </c>
      <c r="J2411" s="483">
        <f t="shared" si="805"/>
        <v>173</v>
      </c>
      <c r="K2411" s="295">
        <f t="shared" si="805"/>
        <v>3636.50623</v>
      </c>
      <c r="L2411" s="295">
        <f t="shared" si="805"/>
        <v>173</v>
      </c>
      <c r="N2411" s="295">
        <f>N1671+N42</f>
        <v>9501.0959999999995</v>
      </c>
      <c r="R2411" s="295">
        <f>R1671+R42</f>
        <v>13164.696160000001</v>
      </c>
      <c r="S2411" s="295">
        <f>S1671+S42</f>
        <v>0</v>
      </c>
      <c r="U2411" s="483">
        <f>U1671+U42</f>
        <v>12140.255449999999</v>
      </c>
      <c r="V2411" s="483">
        <f>V1671+V42</f>
        <v>0</v>
      </c>
    </row>
    <row r="2412" spans="1:22" x14ac:dyDescent="0.2">
      <c r="A2412" s="293"/>
      <c r="B2412" s="336"/>
      <c r="C2412" s="359"/>
      <c r="D2412" s="359"/>
      <c r="E2412" s="384"/>
      <c r="F2412" s="384" t="s">
        <v>474</v>
      </c>
      <c r="G2412" s="483">
        <f t="shared" ref="G2412:L2412" si="806">G1282</f>
        <v>654.73</v>
      </c>
      <c r="H2412" s="483">
        <f t="shared" si="806"/>
        <v>0</v>
      </c>
      <c r="I2412" s="483">
        <f t="shared" si="806"/>
        <v>654.73</v>
      </c>
      <c r="J2412" s="483">
        <f t="shared" si="806"/>
        <v>0</v>
      </c>
      <c r="K2412" s="295">
        <f t="shared" si="806"/>
        <v>0</v>
      </c>
      <c r="L2412" s="295">
        <f t="shared" si="806"/>
        <v>0</v>
      </c>
      <c r="N2412" s="295">
        <f>N1282</f>
        <v>0</v>
      </c>
      <c r="R2412" s="295">
        <f>R1282</f>
        <v>0</v>
      </c>
      <c r="S2412" s="295">
        <f>S1282</f>
        <v>0</v>
      </c>
      <c r="U2412" s="483">
        <f>U1282</f>
        <v>220</v>
      </c>
      <c r="V2412" s="483">
        <f>V1282</f>
        <v>0</v>
      </c>
    </row>
    <row r="2413" spans="1:22" x14ac:dyDescent="0.2">
      <c r="A2413" s="293"/>
      <c r="B2413" s="336"/>
      <c r="C2413" s="359"/>
      <c r="D2413" s="359"/>
      <c r="E2413" s="384"/>
      <c r="F2413" s="384" t="s">
        <v>475</v>
      </c>
      <c r="G2413" s="483">
        <f t="shared" ref="G2413:L2413" si="807">G1704</f>
        <v>1829.95</v>
      </c>
      <c r="H2413" s="483">
        <f t="shared" si="807"/>
        <v>0</v>
      </c>
      <c r="I2413" s="483">
        <f t="shared" si="807"/>
        <v>1885.35</v>
      </c>
      <c r="J2413" s="483">
        <f t="shared" si="807"/>
        <v>0</v>
      </c>
      <c r="K2413" s="295">
        <f t="shared" si="807"/>
        <v>55.400000000000034</v>
      </c>
      <c r="L2413" s="295">
        <f t="shared" si="807"/>
        <v>0</v>
      </c>
      <c r="N2413" s="295">
        <f>N1704</f>
        <v>44.092999999999996</v>
      </c>
      <c r="R2413" s="295">
        <f>R1704</f>
        <v>440.96499999999997</v>
      </c>
      <c r="S2413" s="295">
        <f>S1704</f>
        <v>0</v>
      </c>
      <c r="U2413" s="483">
        <f>U1704</f>
        <v>234.1</v>
      </c>
      <c r="V2413" s="483">
        <f>V1704</f>
        <v>0</v>
      </c>
    </row>
    <row r="2414" spans="1:22" x14ac:dyDescent="0.2">
      <c r="A2414" s="293"/>
      <c r="B2414" s="336"/>
      <c r="C2414" s="359"/>
      <c r="D2414" s="359"/>
      <c r="E2414" s="384"/>
      <c r="F2414" s="384" t="s">
        <v>265</v>
      </c>
      <c r="G2414" s="483">
        <f t="shared" ref="G2414:L2414" si="808">G1769+G1288+G285+G226+G65+G528+G2212</f>
        <v>60141.981269999997</v>
      </c>
      <c r="H2414" s="483">
        <f t="shared" si="808"/>
        <v>0</v>
      </c>
      <c r="I2414" s="483">
        <f t="shared" si="808"/>
        <v>72880.137090000004</v>
      </c>
      <c r="J2414" s="483">
        <f t="shared" si="808"/>
        <v>559.5</v>
      </c>
      <c r="K2414" s="295">
        <f t="shared" si="808"/>
        <v>12738.155820000011</v>
      </c>
      <c r="L2414" s="295">
        <f t="shared" si="808"/>
        <v>559.5</v>
      </c>
      <c r="N2414" s="295" t="e">
        <f>N1769+N1288+N285+N226+N65</f>
        <v>#REF!</v>
      </c>
      <c r="R2414" s="295" t="e">
        <f>R1769+R1288+R285+R226+R65+R528+R2212</f>
        <v>#REF!</v>
      </c>
      <c r="S2414" s="295" t="e">
        <f>S1769+S1288+S285+S226+S65+S528+S2212</f>
        <v>#REF!</v>
      </c>
      <c r="U2414" s="483">
        <f>U1769+U1288+U285+U226+U65+U528+U2212</f>
        <v>54646.245470000002</v>
      </c>
      <c r="V2414" s="483">
        <f>V1769+V1288+V285+V226+V65+V528+V2212</f>
        <v>497.6</v>
      </c>
    </row>
    <row r="2415" spans="1:22" x14ac:dyDescent="0.2">
      <c r="A2415" s="293"/>
      <c r="B2415" s="336"/>
      <c r="C2415" s="359"/>
      <c r="D2415" s="359"/>
      <c r="E2415" s="384"/>
      <c r="F2415" s="384" t="s">
        <v>157</v>
      </c>
      <c r="G2415" s="485">
        <f t="shared" ref="G2415:L2415" si="809">SUM(G2407:G2414)</f>
        <v>96292.826880000008</v>
      </c>
      <c r="H2415" s="485">
        <f t="shared" si="809"/>
        <v>11.7</v>
      </c>
      <c r="I2415" s="485">
        <f>SUM(I2407:I2414)</f>
        <v>119074.48039000001</v>
      </c>
      <c r="J2415" s="485">
        <f>SUM(J2407:J2414)</f>
        <v>1388.2</v>
      </c>
      <c r="K2415" s="296">
        <f t="shared" si="809"/>
        <v>22781.653510000011</v>
      </c>
      <c r="L2415" s="296">
        <f t="shared" si="809"/>
        <v>1376.5</v>
      </c>
      <c r="N2415" s="296" t="e">
        <f>SUM(N2407:N2414)</f>
        <v>#REF!</v>
      </c>
      <c r="R2415" s="296" t="e">
        <f>SUM(R2407:R2414)</f>
        <v>#REF!</v>
      </c>
      <c r="S2415" s="296" t="e">
        <f>SUM(S2407:S2414)</f>
        <v>#REF!</v>
      </c>
      <c r="U2415" s="485">
        <f>SUM(U2407:U2414)</f>
        <v>82558.243820000003</v>
      </c>
      <c r="V2415" s="485">
        <f>SUM(V2407:V2414)</f>
        <v>1264.1570000000002</v>
      </c>
    </row>
    <row r="2416" spans="1:22" x14ac:dyDescent="0.2">
      <c r="A2416" s="293"/>
      <c r="B2416" s="336"/>
      <c r="C2416" s="359"/>
      <c r="D2416" s="359"/>
      <c r="E2416" s="384"/>
      <c r="F2416" s="384" t="s">
        <v>145</v>
      </c>
      <c r="G2416" s="483">
        <v>0</v>
      </c>
      <c r="H2416" s="483">
        <v>0</v>
      </c>
      <c r="I2416" s="483">
        <v>0</v>
      </c>
      <c r="J2416" s="483">
        <v>0</v>
      </c>
      <c r="K2416" s="295">
        <v>0</v>
      </c>
      <c r="L2416" s="295">
        <v>0</v>
      </c>
      <c r="N2416" s="295">
        <v>0</v>
      </c>
      <c r="R2416" s="295">
        <v>0</v>
      </c>
      <c r="S2416" s="295">
        <v>0</v>
      </c>
      <c r="U2416" s="483">
        <v>0</v>
      </c>
      <c r="V2416" s="483">
        <v>0</v>
      </c>
    </row>
    <row r="2417" spans="1:22" x14ac:dyDescent="0.2">
      <c r="A2417" s="293"/>
      <c r="B2417" s="336"/>
      <c r="C2417" s="359"/>
      <c r="D2417" s="359"/>
      <c r="E2417" s="384"/>
      <c r="F2417" s="384" t="s">
        <v>146</v>
      </c>
      <c r="G2417" s="483">
        <f t="shared" ref="G2417:L2417" si="810">G279</f>
        <v>0</v>
      </c>
      <c r="H2417" s="483">
        <f t="shared" si="810"/>
        <v>0</v>
      </c>
      <c r="I2417" s="483">
        <f t="shared" si="810"/>
        <v>0</v>
      </c>
      <c r="J2417" s="483">
        <f t="shared" si="810"/>
        <v>0</v>
      </c>
      <c r="K2417" s="295">
        <f t="shared" si="810"/>
        <v>0</v>
      </c>
      <c r="L2417" s="295">
        <f t="shared" si="810"/>
        <v>0</v>
      </c>
      <c r="N2417" s="295">
        <v>0</v>
      </c>
      <c r="R2417" s="295">
        <f>R279</f>
        <v>0</v>
      </c>
      <c r="S2417" s="295">
        <f>S279</f>
        <v>0</v>
      </c>
      <c r="U2417" s="483">
        <f>U279</f>
        <v>0</v>
      </c>
      <c r="V2417" s="483">
        <f>V279</f>
        <v>0</v>
      </c>
    </row>
    <row r="2418" spans="1:22" x14ac:dyDescent="0.2">
      <c r="A2418" s="293"/>
      <c r="B2418" s="336"/>
      <c r="C2418" s="359"/>
      <c r="D2418" s="359"/>
      <c r="E2418" s="384"/>
      <c r="F2418" s="384" t="s">
        <v>158</v>
      </c>
      <c r="G2418" s="485">
        <f>SUM(G2416:G2417)</f>
        <v>0</v>
      </c>
      <c r="H2418" s="485">
        <v>0</v>
      </c>
      <c r="I2418" s="485">
        <f>SUM(I2416:I2417)</f>
        <v>0</v>
      </c>
      <c r="J2418" s="485">
        <v>0</v>
      </c>
      <c r="K2418" s="296">
        <f>SUM(K2416:K2417)</f>
        <v>0</v>
      </c>
      <c r="L2418" s="296">
        <f>SUM(L2416:L2417)</f>
        <v>0</v>
      </c>
      <c r="N2418" s="296">
        <f>SUM(N2416:N2417)</f>
        <v>0</v>
      </c>
      <c r="R2418" s="296">
        <f>SUM(R2416:R2417)</f>
        <v>0</v>
      </c>
      <c r="S2418" s="296">
        <v>0</v>
      </c>
      <c r="U2418" s="485">
        <f>SUM(U2416:U2417)</f>
        <v>0</v>
      </c>
      <c r="V2418" s="485">
        <v>0</v>
      </c>
    </row>
    <row r="2419" spans="1:22" x14ac:dyDescent="0.2">
      <c r="A2419" s="293"/>
      <c r="B2419" s="336"/>
      <c r="C2419" s="359"/>
      <c r="D2419" s="359"/>
      <c r="E2419" s="384"/>
      <c r="F2419" s="384" t="s">
        <v>786</v>
      </c>
      <c r="G2419" s="485">
        <v>0</v>
      </c>
      <c r="H2419" s="485">
        <v>0</v>
      </c>
      <c r="I2419" s="485">
        <v>0</v>
      </c>
      <c r="J2419" s="485">
        <v>0</v>
      </c>
      <c r="K2419" s="296">
        <v>0</v>
      </c>
      <c r="L2419" s="296">
        <v>0</v>
      </c>
      <c r="N2419" s="296"/>
      <c r="R2419" s="296">
        <v>0</v>
      </c>
      <c r="S2419" s="296">
        <v>0</v>
      </c>
      <c r="U2419" s="485">
        <v>0</v>
      </c>
      <c r="V2419" s="485">
        <v>0</v>
      </c>
    </row>
    <row r="2420" spans="1:22" x14ac:dyDescent="0.2">
      <c r="A2420" s="293"/>
      <c r="B2420" s="336"/>
      <c r="C2420" s="359"/>
      <c r="D2420" s="359"/>
      <c r="E2420" s="384"/>
      <c r="F2420" s="384" t="s">
        <v>147</v>
      </c>
      <c r="G2420" s="483">
        <f t="shared" ref="G2420:L2420" si="811">G74+G1813+G358</f>
        <v>10188.925379999999</v>
      </c>
      <c r="H2420" s="483">
        <f t="shared" si="811"/>
        <v>158.97552999999999</v>
      </c>
      <c r="I2420" s="483">
        <f t="shared" si="811"/>
        <v>11518.26072</v>
      </c>
      <c r="J2420" s="483">
        <f t="shared" si="811"/>
        <v>227.71592999999999</v>
      </c>
      <c r="K2420" s="295">
        <f t="shared" si="811"/>
        <v>1329.3353400000001</v>
      </c>
      <c r="L2420" s="295">
        <f t="shared" si="811"/>
        <v>68.740399999999994</v>
      </c>
      <c r="N2420" s="295" t="e">
        <f>#REF!</f>
        <v>#REF!</v>
      </c>
      <c r="R2420" s="295" t="e">
        <f>R74+R1813</f>
        <v>#REF!</v>
      </c>
      <c r="S2420" s="295" t="e">
        <f>S74+S1813</f>
        <v>#REF!</v>
      </c>
      <c r="U2420" s="483" t="e">
        <f>U74+U1813</f>
        <v>#REF!</v>
      </c>
      <c r="V2420" s="483" t="e">
        <f>V74+V1813</f>
        <v>#REF!</v>
      </c>
    </row>
    <row r="2421" spans="1:22" x14ac:dyDescent="0.2">
      <c r="A2421" s="293"/>
      <c r="B2421" s="336"/>
      <c r="C2421" s="359"/>
      <c r="D2421" s="359"/>
      <c r="E2421" s="384"/>
      <c r="F2421" s="384" t="s">
        <v>148</v>
      </c>
      <c r="G2421" s="483">
        <f t="shared" ref="G2421:L2421" si="812">G1820</f>
        <v>4190.9888199999996</v>
      </c>
      <c r="H2421" s="483">
        <f t="shared" si="812"/>
        <v>0</v>
      </c>
      <c r="I2421" s="483">
        <f t="shared" si="812"/>
        <v>6274.1988000000001</v>
      </c>
      <c r="J2421" s="483">
        <f t="shared" si="812"/>
        <v>0</v>
      </c>
      <c r="K2421" s="295">
        <f t="shared" si="812"/>
        <v>2083.2099800000005</v>
      </c>
      <c r="L2421" s="295">
        <f t="shared" si="812"/>
        <v>0</v>
      </c>
      <c r="N2421" s="295">
        <f>N1820</f>
        <v>237.5</v>
      </c>
      <c r="R2421" s="295">
        <f>R1820</f>
        <v>506.4</v>
      </c>
      <c r="S2421" s="295">
        <f>S1820</f>
        <v>0</v>
      </c>
      <c r="U2421" s="483" t="e">
        <f>U1820</f>
        <v>#REF!</v>
      </c>
      <c r="V2421" s="483" t="e">
        <f>V1820</f>
        <v>#REF!</v>
      </c>
    </row>
    <row r="2422" spans="1:22" x14ac:dyDescent="0.2">
      <c r="A2422" s="293"/>
      <c r="B2422" s="336"/>
      <c r="C2422" s="359"/>
      <c r="D2422" s="359"/>
      <c r="E2422" s="384"/>
      <c r="F2422" s="384" t="s">
        <v>1073</v>
      </c>
      <c r="G2422" s="483">
        <f t="shared" ref="G2422:L2422" si="813">G1869+G175</f>
        <v>360</v>
      </c>
      <c r="H2422" s="483">
        <f t="shared" si="813"/>
        <v>0</v>
      </c>
      <c r="I2422" s="483">
        <f t="shared" si="813"/>
        <v>360</v>
      </c>
      <c r="J2422" s="483">
        <f t="shared" si="813"/>
        <v>0</v>
      </c>
      <c r="K2422" s="295">
        <f t="shared" si="813"/>
        <v>0</v>
      </c>
      <c r="L2422" s="295">
        <f t="shared" si="813"/>
        <v>0</v>
      </c>
      <c r="N2422" s="295"/>
      <c r="R2422" s="295">
        <f>R1869+R175</f>
        <v>15148.6</v>
      </c>
      <c r="S2422" s="295">
        <f>S1869+S175</f>
        <v>14817</v>
      </c>
      <c r="U2422" s="483">
        <f>U1869+U175</f>
        <v>0</v>
      </c>
      <c r="V2422" s="483">
        <f>V1869+V175</f>
        <v>0</v>
      </c>
    </row>
    <row r="2423" spans="1:22" x14ac:dyDescent="0.2">
      <c r="A2423" s="293"/>
      <c r="B2423" s="336"/>
      <c r="C2423" s="359"/>
      <c r="D2423" s="359"/>
      <c r="E2423" s="384"/>
      <c r="F2423" s="384" t="s">
        <v>149</v>
      </c>
      <c r="G2423" s="483">
        <f t="shared" ref="G2423:L2423" si="814">G1889</f>
        <v>325239.90999999997</v>
      </c>
      <c r="H2423" s="483">
        <f t="shared" si="814"/>
        <v>260968.79089999999</v>
      </c>
      <c r="I2423" s="483">
        <f t="shared" si="814"/>
        <v>346962.96947999997</v>
      </c>
      <c r="J2423" s="483">
        <f t="shared" si="814"/>
        <v>260968.79089999999</v>
      </c>
      <c r="K2423" s="295">
        <f t="shared" si="814"/>
        <v>21723.059479999996</v>
      </c>
      <c r="L2423" s="295">
        <f t="shared" si="814"/>
        <v>0</v>
      </c>
      <c r="N2423" s="295">
        <f>N1889</f>
        <v>60082.258000000002</v>
      </c>
      <c r="R2423" s="295">
        <f>R1889</f>
        <v>89597.913570000004</v>
      </c>
      <c r="S2423" s="295">
        <f>S1889</f>
        <v>42600.5</v>
      </c>
      <c r="U2423" s="483">
        <f>U1889</f>
        <v>101826.25304000001</v>
      </c>
      <c r="V2423" s="483">
        <f>V1889</f>
        <v>0</v>
      </c>
    </row>
    <row r="2424" spans="1:22" x14ac:dyDescent="0.2">
      <c r="A2424" s="123"/>
      <c r="B2424" s="335"/>
      <c r="C2424" s="358"/>
      <c r="D2424" s="358"/>
      <c r="E2424" s="372"/>
      <c r="F2424" s="372" t="s">
        <v>150</v>
      </c>
      <c r="G2424" s="440">
        <f t="shared" ref="G2424:L2424" si="815">G2024+G364+G180+G1410</f>
        <v>5641.6593599999997</v>
      </c>
      <c r="H2424" s="440">
        <f t="shared" si="815"/>
        <v>0</v>
      </c>
      <c r="I2424" s="440">
        <f t="shared" si="815"/>
        <v>6278.2523600000004</v>
      </c>
      <c r="J2424" s="440">
        <f t="shared" si="815"/>
        <v>0</v>
      </c>
      <c r="K2424" s="41">
        <f t="shared" si="815"/>
        <v>636.59300000000007</v>
      </c>
      <c r="L2424" s="41">
        <f t="shared" si="815"/>
        <v>0</v>
      </c>
      <c r="N2424" s="41" t="e">
        <f>#REF!+N364+N2024</f>
        <v>#REF!</v>
      </c>
      <c r="R2424" s="41">
        <f>R2024+R364+R180+R1410</f>
        <v>5283.7166399999996</v>
      </c>
      <c r="S2424" s="41">
        <f>S2024+S364+S180+S1410</f>
        <v>2120.6764400000002</v>
      </c>
      <c r="U2424" s="440">
        <f>U2024+U364+U180+U1410</f>
        <v>7432.3414700000003</v>
      </c>
      <c r="V2424" s="440">
        <f>V2024+V364+V180+V1410</f>
        <v>0</v>
      </c>
    </row>
    <row r="2425" spans="1:22" x14ac:dyDescent="0.2">
      <c r="A2425" s="123"/>
      <c r="B2425" s="335"/>
      <c r="C2425" s="358"/>
      <c r="D2425" s="358"/>
      <c r="E2425" s="372"/>
      <c r="F2425" s="372" t="s">
        <v>602</v>
      </c>
      <c r="G2425" s="486">
        <f t="shared" ref="G2425:L2425" si="816">SUM(G2419:G2424)</f>
        <v>345621.48355999996</v>
      </c>
      <c r="H2425" s="486">
        <f t="shared" si="816"/>
        <v>261127.76642999999</v>
      </c>
      <c r="I2425" s="486">
        <f>SUM(I2419:I2424)</f>
        <v>371393.68135999993</v>
      </c>
      <c r="J2425" s="486">
        <f>SUM(J2419:J2424)</f>
        <v>261196.50683</v>
      </c>
      <c r="K2425" s="45">
        <f t="shared" si="816"/>
        <v>25772.197799999998</v>
      </c>
      <c r="L2425" s="45">
        <f t="shared" si="816"/>
        <v>68.740399999999994</v>
      </c>
      <c r="N2425" s="45" t="e">
        <f>SUM(N2420:N2424)</f>
        <v>#REF!</v>
      </c>
      <c r="R2425" s="45" t="e">
        <f>SUM(R2419:R2424)</f>
        <v>#REF!</v>
      </c>
      <c r="S2425" s="45" t="e">
        <f>SUM(S2419:S2424)</f>
        <v>#REF!</v>
      </c>
      <c r="U2425" s="486" t="e">
        <f>SUM(U2419:U2424)</f>
        <v>#REF!</v>
      </c>
      <c r="V2425" s="486" t="e">
        <f>SUM(V2419:V2424)</f>
        <v>#REF!</v>
      </c>
    </row>
    <row r="2426" spans="1:22" x14ac:dyDescent="0.2">
      <c r="A2426" s="293"/>
      <c r="B2426" s="336"/>
      <c r="C2426" s="359"/>
      <c r="D2426" s="359"/>
      <c r="E2426" s="384"/>
      <c r="F2426" s="384" t="s">
        <v>114</v>
      </c>
      <c r="G2426" s="483">
        <f t="shared" ref="G2426:L2426" si="817">G1424+G2036</f>
        <v>53034.696000000004</v>
      </c>
      <c r="H2426" s="483">
        <f t="shared" si="817"/>
        <v>49306.6</v>
      </c>
      <c r="I2426" s="483">
        <f t="shared" si="817"/>
        <v>53034.696000000004</v>
      </c>
      <c r="J2426" s="483">
        <f t="shared" si="817"/>
        <v>49306.6</v>
      </c>
      <c r="K2426" s="295">
        <f t="shared" si="817"/>
        <v>0</v>
      </c>
      <c r="L2426" s="295">
        <f t="shared" si="817"/>
        <v>0</v>
      </c>
      <c r="N2426" s="295" t="e">
        <f>N1424</f>
        <v>#REF!</v>
      </c>
      <c r="R2426" s="295">
        <f>R1424+R2036</f>
        <v>94116.808200000014</v>
      </c>
      <c r="S2426" s="295">
        <f>S1424+S2036</f>
        <v>92234.472120000006</v>
      </c>
      <c r="U2426" s="483">
        <f>U1424+U2036</f>
        <v>218819.86786000003</v>
      </c>
      <c r="V2426" s="483">
        <f>V1424+V2036</f>
        <v>214540.42853</v>
      </c>
    </row>
    <row r="2427" spans="1:22" x14ac:dyDescent="0.2">
      <c r="A2427" s="293"/>
      <c r="B2427" s="336"/>
      <c r="C2427" s="359"/>
      <c r="D2427" s="359"/>
      <c r="E2427" s="384"/>
      <c r="F2427" s="384" t="s">
        <v>492</v>
      </c>
      <c r="G2427" s="483">
        <f t="shared" ref="G2427:L2427" si="818">G2059+G1432</f>
        <v>123851.77972000001</v>
      </c>
      <c r="H2427" s="483">
        <f t="shared" si="818"/>
        <v>52537.1</v>
      </c>
      <c r="I2427" s="483">
        <f t="shared" si="818"/>
        <v>204339.66157</v>
      </c>
      <c r="J2427" s="483">
        <f t="shared" si="818"/>
        <v>52537.1</v>
      </c>
      <c r="K2427" s="295">
        <f t="shared" si="818"/>
        <v>80487.881850000005</v>
      </c>
      <c r="L2427" s="295">
        <f t="shared" si="818"/>
        <v>0</v>
      </c>
      <c r="N2427" s="295" t="e">
        <f>N2059+N1432</f>
        <v>#REF!</v>
      </c>
      <c r="R2427" s="295">
        <f>R2059+R1432</f>
        <v>119501.67298</v>
      </c>
      <c r="S2427" s="295">
        <f>S2059+S1432</f>
        <v>0</v>
      </c>
      <c r="U2427" s="483">
        <f>U2059+U1432</f>
        <v>109486.07978</v>
      </c>
      <c r="V2427" s="483">
        <f>V2059+V1432</f>
        <v>0</v>
      </c>
    </row>
    <row r="2428" spans="1:22" x14ac:dyDescent="0.2">
      <c r="A2428" s="293"/>
      <c r="B2428" s="336"/>
      <c r="C2428" s="359"/>
      <c r="D2428" s="359"/>
      <c r="E2428" s="384"/>
      <c r="F2428" s="359" t="s">
        <v>493</v>
      </c>
      <c r="G2428" s="483">
        <f t="shared" ref="G2428:L2428" si="819">G1463+G200+G2103</f>
        <v>62594.379860000001</v>
      </c>
      <c r="H2428" s="483">
        <f t="shared" si="819"/>
        <v>59437.095869999997</v>
      </c>
      <c r="I2428" s="483">
        <f t="shared" si="819"/>
        <v>62570.77016</v>
      </c>
      <c r="J2428" s="483">
        <f t="shared" si="819"/>
        <v>59437.095869999997</v>
      </c>
      <c r="K2428" s="295">
        <f t="shared" si="819"/>
        <v>-23.609699999999975</v>
      </c>
      <c r="L2428" s="295">
        <f t="shared" si="819"/>
        <v>0</v>
      </c>
      <c r="N2428" s="295"/>
      <c r="R2428" s="295">
        <f>R1463+R200+R2103</f>
        <v>39809.501449999996</v>
      </c>
      <c r="S2428" s="295">
        <f>S1463+S200+S2103</f>
        <v>39304.3128</v>
      </c>
      <c r="U2428" s="483">
        <f>U1463</f>
        <v>5696.73</v>
      </c>
      <c r="V2428" s="483">
        <f>V1463</f>
        <v>5526.9674500000001</v>
      </c>
    </row>
    <row r="2429" spans="1:22" x14ac:dyDescent="0.2">
      <c r="A2429" s="293"/>
      <c r="B2429" s="336"/>
      <c r="C2429" s="359"/>
      <c r="D2429" s="359"/>
      <c r="E2429" s="384"/>
      <c r="F2429" s="384" t="s">
        <v>305</v>
      </c>
      <c r="G2429" s="483">
        <v>0</v>
      </c>
      <c r="H2429" s="483">
        <v>0</v>
      </c>
      <c r="I2429" s="483">
        <v>0</v>
      </c>
      <c r="J2429" s="483">
        <v>0</v>
      </c>
      <c r="K2429" s="295">
        <v>0</v>
      </c>
      <c r="L2429" s="295">
        <v>0</v>
      </c>
      <c r="N2429" s="295" t="e">
        <f>#REF!</f>
        <v>#REF!</v>
      </c>
      <c r="R2429" s="295">
        <v>0</v>
      </c>
      <c r="S2429" s="295">
        <v>0</v>
      </c>
      <c r="U2429" s="483">
        <v>0</v>
      </c>
      <c r="V2429" s="483">
        <v>0</v>
      </c>
    </row>
    <row r="2430" spans="1:22" x14ac:dyDescent="0.2">
      <c r="A2430" s="293"/>
      <c r="B2430" s="336"/>
      <c r="C2430" s="359"/>
      <c r="D2430" s="359"/>
      <c r="E2430" s="384"/>
      <c r="F2430" s="384" t="s">
        <v>604</v>
      </c>
      <c r="G2430" s="485">
        <f t="shared" ref="G2430:L2430" si="820">G2427+G2426+G2429+G2428</f>
        <v>239480.85558000003</v>
      </c>
      <c r="H2430" s="485">
        <f t="shared" si="820"/>
        <v>161280.79587</v>
      </c>
      <c r="I2430" s="485">
        <f>I2427+I2426+I2429+I2428</f>
        <v>319945.12773000001</v>
      </c>
      <c r="J2430" s="485">
        <f>J2427+J2426+J2429+J2428</f>
        <v>161280.79587</v>
      </c>
      <c r="K2430" s="296">
        <f t="shared" si="820"/>
        <v>80464.272150000004</v>
      </c>
      <c r="L2430" s="296">
        <f t="shared" si="820"/>
        <v>0</v>
      </c>
      <c r="N2430" s="296" t="e">
        <f>N2427+N2426+N2429</f>
        <v>#REF!</v>
      </c>
      <c r="R2430" s="296">
        <f>R2427+R2426+R2429+R2428</f>
        <v>253427.98262999998</v>
      </c>
      <c r="S2430" s="296">
        <f>S2427+S2426+S2429+S2428</f>
        <v>131538.78492000001</v>
      </c>
      <c r="U2430" s="485">
        <f>U2427+U2426+U2429+U2428</f>
        <v>334002.67764000001</v>
      </c>
      <c r="V2430" s="485">
        <f>V2427+V2426+V2429+V2428</f>
        <v>220067.39598</v>
      </c>
    </row>
    <row r="2431" spans="1:22" x14ac:dyDescent="0.2">
      <c r="A2431" s="293"/>
      <c r="B2431" s="336"/>
      <c r="C2431" s="359"/>
      <c r="D2431" s="359"/>
      <c r="E2431" s="384"/>
      <c r="F2431" s="384" t="s">
        <v>1111</v>
      </c>
      <c r="G2431" s="485">
        <f t="shared" ref="G2431:L2431" si="821">G2137</f>
        <v>4186.8899999999994</v>
      </c>
      <c r="H2431" s="485">
        <f t="shared" si="821"/>
        <v>0</v>
      </c>
      <c r="I2431" s="485">
        <f t="shared" si="821"/>
        <v>4556.3899999999994</v>
      </c>
      <c r="J2431" s="485">
        <f t="shared" si="821"/>
        <v>0</v>
      </c>
      <c r="K2431" s="296">
        <f t="shared" si="821"/>
        <v>369.5</v>
      </c>
      <c r="L2431" s="296">
        <f t="shared" si="821"/>
        <v>0</v>
      </c>
      <c r="N2431" s="296"/>
      <c r="R2431" s="296">
        <f>R2137</f>
        <v>1980.1614999999999</v>
      </c>
      <c r="S2431" s="296">
        <f>S2137</f>
        <v>0</v>
      </c>
      <c r="U2431" s="485">
        <f>U2137</f>
        <v>64.8</v>
      </c>
      <c r="V2431" s="485">
        <f>V2137</f>
        <v>0</v>
      </c>
    </row>
    <row r="2432" spans="1:22" x14ac:dyDescent="0.2">
      <c r="A2432" s="293"/>
      <c r="B2432" s="336"/>
      <c r="C2432" s="359"/>
      <c r="D2432" s="359"/>
      <c r="E2432" s="384"/>
      <c r="F2432" s="384" t="s">
        <v>1110</v>
      </c>
      <c r="G2432" s="485">
        <f t="shared" ref="G2432:L2432" si="822">G2431</f>
        <v>4186.8899999999994</v>
      </c>
      <c r="H2432" s="485">
        <f t="shared" si="822"/>
        <v>0</v>
      </c>
      <c r="I2432" s="485">
        <f>I2431</f>
        <v>4556.3899999999994</v>
      </c>
      <c r="J2432" s="485">
        <f>J2431</f>
        <v>0</v>
      </c>
      <c r="K2432" s="296">
        <f t="shared" si="822"/>
        <v>369.5</v>
      </c>
      <c r="L2432" s="296">
        <f t="shared" si="822"/>
        <v>0</v>
      </c>
      <c r="N2432" s="296"/>
      <c r="R2432" s="296">
        <f>R2431</f>
        <v>1980.1614999999999</v>
      </c>
      <c r="S2432" s="296">
        <f>S2431</f>
        <v>0</v>
      </c>
      <c r="U2432" s="485">
        <f>U2431</f>
        <v>64.8</v>
      </c>
      <c r="V2432" s="485">
        <f>V2431</f>
        <v>0</v>
      </c>
    </row>
    <row r="2433" spans="1:22" x14ac:dyDescent="0.2">
      <c r="A2433" s="293"/>
      <c r="B2433" s="336"/>
      <c r="C2433" s="359"/>
      <c r="D2433" s="359"/>
      <c r="E2433" s="384"/>
      <c r="F2433" s="384" t="s">
        <v>461</v>
      </c>
      <c r="G2433" s="483">
        <f t="shared" ref="G2433:L2433" si="823">G805+G1483</f>
        <v>234786.38243999999</v>
      </c>
      <c r="H2433" s="483">
        <f t="shared" si="823"/>
        <v>20622.8</v>
      </c>
      <c r="I2433" s="483">
        <f t="shared" si="823"/>
        <v>263188.47275000002</v>
      </c>
      <c r="J2433" s="483">
        <f t="shared" si="823"/>
        <v>20622.8</v>
      </c>
      <c r="K2433" s="295">
        <f t="shared" si="823"/>
        <v>28402.090310000029</v>
      </c>
      <c r="L2433" s="295">
        <f t="shared" si="823"/>
        <v>0</v>
      </c>
      <c r="N2433" s="295" t="e">
        <f>N805</f>
        <v>#REF!</v>
      </c>
      <c r="R2433" s="295">
        <f>R805+R1483</f>
        <v>227365.06615999999</v>
      </c>
      <c r="S2433" s="295">
        <f>S805+S1483</f>
        <v>47539.8</v>
      </c>
      <c r="U2433" s="483">
        <f>U805</f>
        <v>172581.24526999998</v>
      </c>
      <c r="V2433" s="483">
        <f>V805</f>
        <v>0</v>
      </c>
    </row>
    <row r="2434" spans="1:22" x14ac:dyDescent="0.2">
      <c r="A2434" s="293"/>
      <c r="B2434" s="336"/>
      <c r="C2434" s="359"/>
      <c r="D2434" s="359"/>
      <c r="E2434" s="384"/>
      <c r="F2434" s="384" t="s">
        <v>462</v>
      </c>
      <c r="G2434" s="483">
        <f t="shared" ref="G2434:L2434" si="824">G884+G1490</f>
        <v>678556.15825999994</v>
      </c>
      <c r="H2434" s="483">
        <f t="shared" si="824"/>
        <v>107434.88699999999</v>
      </c>
      <c r="I2434" s="483">
        <f t="shared" si="824"/>
        <v>725279.13052000001</v>
      </c>
      <c r="J2434" s="483">
        <f t="shared" si="824"/>
        <v>130112.787</v>
      </c>
      <c r="K2434" s="295">
        <f t="shared" si="824"/>
        <v>46722.972260000068</v>
      </c>
      <c r="L2434" s="295">
        <f t="shared" si="824"/>
        <v>22677.900000000009</v>
      </c>
      <c r="N2434" s="295" t="e">
        <f>N884+N535</f>
        <v>#REF!</v>
      </c>
      <c r="R2434" s="295" t="e">
        <f>R884+R1490</f>
        <v>#REF!</v>
      </c>
      <c r="S2434" s="295" t="e">
        <f>S884+S1490</f>
        <v>#REF!</v>
      </c>
      <c r="U2434" s="483" t="e">
        <f>U884</f>
        <v>#REF!</v>
      </c>
      <c r="V2434" s="483" t="e">
        <f>V884</f>
        <v>#REF!</v>
      </c>
    </row>
    <row r="2435" spans="1:22" x14ac:dyDescent="0.2">
      <c r="A2435" s="293"/>
      <c r="B2435" s="336"/>
      <c r="C2435" s="359"/>
      <c r="D2435" s="359"/>
      <c r="E2435" s="384"/>
      <c r="F2435" s="384" t="s">
        <v>597</v>
      </c>
      <c r="G2435" s="483">
        <f t="shared" ref="G2435:L2435" si="825">G1015+G535</f>
        <v>66846.764220000012</v>
      </c>
      <c r="H2435" s="483">
        <f t="shared" si="825"/>
        <v>0</v>
      </c>
      <c r="I2435" s="483">
        <f t="shared" si="825"/>
        <v>82797.77926000001</v>
      </c>
      <c r="J2435" s="483">
        <f t="shared" si="825"/>
        <v>0</v>
      </c>
      <c r="K2435" s="295">
        <f t="shared" si="825"/>
        <v>15951.015040000002</v>
      </c>
      <c r="L2435" s="295">
        <f t="shared" si="825"/>
        <v>0</v>
      </c>
      <c r="N2435" s="295">
        <f>N1497</f>
        <v>0</v>
      </c>
      <c r="R2435" s="483">
        <f>R1015+R535</f>
        <v>90018.261519999985</v>
      </c>
      <c r="S2435" s="483">
        <f>S1015+S535</f>
        <v>17094.599999999999</v>
      </c>
      <c r="U2435" s="483" t="e">
        <f>U1015+U536</f>
        <v>#REF!</v>
      </c>
      <c r="V2435" s="483" t="e">
        <f>V1015+V536</f>
        <v>#REF!</v>
      </c>
    </row>
    <row r="2436" spans="1:22" x14ac:dyDescent="0.2">
      <c r="A2436" s="293"/>
      <c r="B2436" s="336"/>
      <c r="C2436" s="359"/>
      <c r="D2436" s="359"/>
      <c r="E2436" s="384"/>
      <c r="F2436" s="384" t="s">
        <v>761</v>
      </c>
      <c r="G2436" s="483">
        <f t="shared" ref="G2436:L2436" si="826">G1063+G1497</f>
        <v>338</v>
      </c>
      <c r="H2436" s="483">
        <f t="shared" si="826"/>
        <v>0</v>
      </c>
      <c r="I2436" s="483">
        <f t="shared" si="826"/>
        <v>338</v>
      </c>
      <c r="J2436" s="483">
        <f t="shared" si="826"/>
        <v>0</v>
      </c>
      <c r="K2436" s="295">
        <f t="shared" si="826"/>
        <v>0</v>
      </c>
      <c r="L2436" s="295">
        <f t="shared" si="826"/>
        <v>0</v>
      </c>
      <c r="N2436" s="295"/>
      <c r="R2436" s="295">
        <f>R1063+R1497</f>
        <v>166</v>
      </c>
      <c r="S2436" s="295">
        <f>S1063+S1497</f>
        <v>0</v>
      </c>
      <c r="U2436" s="483">
        <f>U1063+U1497</f>
        <v>246</v>
      </c>
      <c r="V2436" s="483">
        <f>V1063+V1497</f>
        <v>0</v>
      </c>
    </row>
    <row r="2437" spans="1:22" x14ac:dyDescent="0.2">
      <c r="A2437" s="293"/>
      <c r="B2437" s="336"/>
      <c r="C2437" s="359"/>
      <c r="D2437" s="359"/>
      <c r="E2437" s="384"/>
      <c r="F2437" s="384" t="s">
        <v>463</v>
      </c>
      <c r="G2437" s="483">
        <f t="shared" ref="G2437:L2437" si="827">G1507+G1073+G2225</f>
        <v>7902.4</v>
      </c>
      <c r="H2437" s="483">
        <f t="shared" si="827"/>
        <v>0</v>
      </c>
      <c r="I2437" s="483">
        <f t="shared" si="827"/>
        <v>7893.0776500000002</v>
      </c>
      <c r="J2437" s="483">
        <f t="shared" si="827"/>
        <v>0</v>
      </c>
      <c r="K2437" s="295">
        <f t="shared" si="827"/>
        <v>-9.3223499999994601</v>
      </c>
      <c r="L2437" s="295">
        <f t="shared" si="827"/>
        <v>0</v>
      </c>
      <c r="N2437" s="295">
        <f>N1507+N1073</f>
        <v>6443.4999999999991</v>
      </c>
      <c r="R2437" s="295">
        <f>R1507+R1073+R2225</f>
        <v>6319.6494299999995</v>
      </c>
      <c r="S2437" s="295">
        <f>S1507+S1073+S2225</f>
        <v>0</v>
      </c>
      <c r="U2437" s="483">
        <f>U1507+U1073+U2225</f>
        <v>5254.5089200000002</v>
      </c>
      <c r="V2437" s="483">
        <f>V1507+V1073+V2225</f>
        <v>0</v>
      </c>
    </row>
    <row r="2438" spans="1:22" x14ac:dyDescent="0.2">
      <c r="A2438" s="293"/>
      <c r="B2438" s="336"/>
      <c r="C2438" s="359"/>
      <c r="D2438" s="359"/>
      <c r="E2438" s="384"/>
      <c r="F2438" s="384" t="s">
        <v>464</v>
      </c>
      <c r="G2438" s="483">
        <f t="shared" ref="G2438:L2438" si="828">G1515+G1097+G2169</f>
        <v>69713.967079999988</v>
      </c>
      <c r="H2438" s="483">
        <f t="shared" si="828"/>
        <v>0</v>
      </c>
      <c r="I2438" s="483">
        <f t="shared" si="828"/>
        <v>92016.234199999977</v>
      </c>
      <c r="J2438" s="483">
        <f t="shared" si="828"/>
        <v>78</v>
      </c>
      <c r="K2438" s="295">
        <f t="shared" si="828"/>
        <v>22302.26711999999</v>
      </c>
      <c r="L2438" s="295">
        <f t="shared" si="828"/>
        <v>78</v>
      </c>
      <c r="N2438" s="295" t="e">
        <f>N1515+N1097</f>
        <v>#REF!</v>
      </c>
      <c r="R2438" s="295">
        <f>R1515+R1097+R2169</f>
        <v>90905.547350000008</v>
      </c>
      <c r="S2438" s="295">
        <f>S1515+S1097+S2169</f>
        <v>0</v>
      </c>
      <c r="U2438" s="483" t="e">
        <f>U1515+U1097+U2169</f>
        <v>#REF!</v>
      </c>
      <c r="V2438" s="483" t="e">
        <f>V1515+V1097+V2169</f>
        <v>#REF!</v>
      </c>
    </row>
    <row r="2439" spans="1:22" x14ac:dyDescent="0.2">
      <c r="A2439" s="293"/>
      <c r="B2439" s="336"/>
      <c r="C2439" s="359"/>
      <c r="D2439" s="359"/>
      <c r="E2439" s="384"/>
      <c r="F2439" s="384" t="s">
        <v>287</v>
      </c>
      <c r="G2439" s="485">
        <f t="shared" ref="G2439:L2439" si="829">SUM(G2433:G2438)</f>
        <v>1058143.672</v>
      </c>
      <c r="H2439" s="485">
        <f t="shared" si="829"/>
        <v>128057.68699999999</v>
      </c>
      <c r="I2439" s="485">
        <f>SUM(I2433:I2438)</f>
        <v>1171512.6943800002</v>
      </c>
      <c r="J2439" s="485">
        <f>SUM(J2433:J2438)</f>
        <v>150813.587</v>
      </c>
      <c r="K2439" s="296">
        <f t="shared" si="829"/>
        <v>113369.02238000008</v>
      </c>
      <c r="L2439" s="296">
        <f t="shared" si="829"/>
        <v>22755.900000000009</v>
      </c>
      <c r="N2439" s="296" t="e">
        <f>SUM(N2433:N2438)</f>
        <v>#REF!</v>
      </c>
      <c r="R2439" s="296" t="e">
        <f>SUM(R2433:R2438)</f>
        <v>#REF!</v>
      </c>
      <c r="S2439" s="296" t="e">
        <f>SUM(S2433:S2438)</f>
        <v>#REF!</v>
      </c>
      <c r="U2439" s="485" t="e">
        <f>SUM(U2433:U2438)</f>
        <v>#REF!</v>
      </c>
      <c r="V2439" s="485" t="e">
        <f>SUM(V2433:V2438)</f>
        <v>#REF!</v>
      </c>
    </row>
    <row r="2440" spans="1:22" x14ac:dyDescent="0.2">
      <c r="A2440" s="293"/>
      <c r="B2440" s="336"/>
      <c r="C2440" s="359"/>
      <c r="D2440" s="359"/>
      <c r="E2440" s="384"/>
      <c r="F2440" s="384" t="s">
        <v>465</v>
      </c>
      <c r="G2440" s="483">
        <f t="shared" ref="G2440:L2440" si="830">G566</f>
        <v>59819.035880000003</v>
      </c>
      <c r="H2440" s="483">
        <f t="shared" si="830"/>
        <v>1239.0030099999999</v>
      </c>
      <c r="I2440" s="483">
        <f t="shared" si="830"/>
        <v>73580.236619999996</v>
      </c>
      <c r="J2440" s="483">
        <f t="shared" si="830"/>
        <v>1269.0030099999999</v>
      </c>
      <c r="K2440" s="295">
        <f t="shared" si="830"/>
        <v>13761.200739999993</v>
      </c>
      <c r="L2440" s="295">
        <f t="shared" si="830"/>
        <v>30</v>
      </c>
      <c r="N2440" s="295" t="e">
        <f>N566</f>
        <v>#REF!</v>
      </c>
      <c r="R2440" s="295">
        <f>R566</f>
        <v>64241.756009999997</v>
      </c>
      <c r="S2440" s="295">
        <f>S566</f>
        <v>15004.312540000001</v>
      </c>
      <c r="U2440" s="483">
        <f>U566</f>
        <v>53421.004490000007</v>
      </c>
      <c r="V2440" s="483">
        <f>V566</f>
        <v>12669.688629999999</v>
      </c>
    </row>
    <row r="2441" spans="1:22" x14ac:dyDescent="0.2">
      <c r="A2441" s="293"/>
      <c r="B2441" s="336"/>
      <c r="C2441" s="359"/>
      <c r="D2441" s="359"/>
      <c r="E2441" s="384"/>
      <c r="F2441" s="384" t="s">
        <v>78</v>
      </c>
      <c r="G2441" s="483">
        <f t="shared" ref="G2441:L2441" si="831">G689</f>
        <v>12631.360339999999</v>
      </c>
      <c r="H2441" s="483">
        <f t="shared" si="831"/>
        <v>0</v>
      </c>
      <c r="I2441" s="483">
        <f t="shared" si="831"/>
        <v>18360.700969999998</v>
      </c>
      <c r="J2441" s="483">
        <f t="shared" si="831"/>
        <v>35</v>
      </c>
      <c r="K2441" s="295">
        <f t="shared" si="831"/>
        <v>5729.3406299999988</v>
      </c>
      <c r="L2441" s="295">
        <f t="shared" si="831"/>
        <v>35</v>
      </c>
      <c r="N2441" s="295">
        <f>N689</f>
        <v>7509.8269999999993</v>
      </c>
      <c r="R2441" s="295">
        <f>R689</f>
        <v>16636.417130000002</v>
      </c>
      <c r="S2441" s="295">
        <f>S689</f>
        <v>0</v>
      </c>
      <c r="U2441" s="483">
        <f>U689</f>
        <v>94478.895000000004</v>
      </c>
      <c r="V2441" s="483">
        <f>V689</f>
        <v>75055.269650000002</v>
      </c>
    </row>
    <row r="2442" spans="1:22" x14ac:dyDescent="0.2">
      <c r="A2442" s="293"/>
      <c r="B2442" s="336"/>
      <c r="C2442" s="359"/>
      <c r="D2442" s="359"/>
      <c r="E2442" s="384"/>
      <c r="F2442" s="384" t="s">
        <v>92</v>
      </c>
      <c r="G2442" s="485">
        <f t="shared" ref="G2442:L2442" si="832">SUM(G2440:G2441)</f>
        <v>72450.396219999995</v>
      </c>
      <c r="H2442" s="485">
        <f t="shared" si="832"/>
        <v>1239.0030099999999</v>
      </c>
      <c r="I2442" s="485">
        <f>SUM(I2440:I2441)</f>
        <v>91940.937589999987</v>
      </c>
      <c r="J2442" s="485">
        <f>SUM(J2440:J2441)</f>
        <v>1304.0030099999999</v>
      </c>
      <c r="K2442" s="296">
        <f t="shared" si="832"/>
        <v>19490.541369999992</v>
      </c>
      <c r="L2442" s="296">
        <f t="shared" si="832"/>
        <v>65</v>
      </c>
      <c r="N2442" s="296" t="e">
        <f>SUM(N2440:N2441)</f>
        <v>#REF!</v>
      </c>
      <c r="R2442" s="296">
        <f>SUM(R2440:R2441)</f>
        <v>80878.173139999999</v>
      </c>
      <c r="S2442" s="296">
        <f>SUM(S2440:S2441)</f>
        <v>15004.312540000001</v>
      </c>
      <c r="U2442" s="485">
        <f>SUM(U2440:U2441)</f>
        <v>147899.89949000001</v>
      </c>
      <c r="V2442" s="485">
        <f>SUM(V2440:V2441)</f>
        <v>87724.958280000006</v>
      </c>
    </row>
    <row r="2443" spans="1:22" x14ac:dyDescent="0.2">
      <c r="A2443" s="293"/>
      <c r="B2443" s="336"/>
      <c r="C2443" s="359"/>
      <c r="D2443" s="359"/>
      <c r="E2443" s="384"/>
      <c r="F2443" s="384" t="s">
        <v>266</v>
      </c>
      <c r="G2443" s="483">
        <f t="shared" ref="G2443:L2443" si="833">G1522+G470</f>
        <v>248.768</v>
      </c>
      <c r="H2443" s="483">
        <f t="shared" si="833"/>
        <v>0</v>
      </c>
      <c r="I2443" s="483">
        <f t="shared" si="833"/>
        <v>248.768</v>
      </c>
      <c r="J2443" s="483">
        <f t="shared" si="833"/>
        <v>0</v>
      </c>
      <c r="K2443" s="295">
        <f t="shared" si="833"/>
        <v>0</v>
      </c>
      <c r="L2443" s="295">
        <f t="shared" si="833"/>
        <v>0</v>
      </c>
      <c r="N2443" s="295" t="e">
        <f>N1522</f>
        <v>#REF!</v>
      </c>
      <c r="R2443" s="295">
        <f>R1522+R470</f>
        <v>350.1746</v>
      </c>
      <c r="S2443" s="295">
        <f>S1522+S470</f>
        <v>0</v>
      </c>
      <c r="U2443" s="483">
        <f>U1522+U470</f>
        <v>20868.25</v>
      </c>
      <c r="V2443" s="483">
        <f>V1522+V470</f>
        <v>20083.091489999999</v>
      </c>
    </row>
    <row r="2444" spans="1:22" x14ac:dyDescent="0.2">
      <c r="A2444" s="293"/>
      <c r="B2444" s="336"/>
      <c r="C2444" s="359"/>
      <c r="D2444" s="359"/>
      <c r="E2444" s="384"/>
      <c r="F2444" s="384" t="s">
        <v>295</v>
      </c>
      <c r="G2444" s="485">
        <f t="shared" ref="G2444:L2444" si="834">SUM(G2443:G2443)</f>
        <v>248.768</v>
      </c>
      <c r="H2444" s="485">
        <f t="shared" si="834"/>
        <v>0</v>
      </c>
      <c r="I2444" s="485">
        <f>SUM(I2443:I2443)</f>
        <v>248.768</v>
      </c>
      <c r="J2444" s="485">
        <f>SUM(J2443:J2443)</f>
        <v>0</v>
      </c>
      <c r="K2444" s="296">
        <f t="shared" si="834"/>
        <v>0</v>
      </c>
      <c r="L2444" s="296">
        <f t="shared" si="834"/>
        <v>0</v>
      </c>
      <c r="N2444" s="296" t="e">
        <f>SUM(N2443:N2443)</f>
        <v>#REF!</v>
      </c>
      <c r="R2444" s="296">
        <f>SUM(R2443:R2443)</f>
        <v>350.1746</v>
      </c>
      <c r="S2444" s="296">
        <f>SUM(S2443:S2443)</f>
        <v>0</v>
      </c>
      <c r="U2444" s="485">
        <f>SUM(U2443:U2443)</f>
        <v>20868.25</v>
      </c>
      <c r="V2444" s="485">
        <f>SUM(V2443:V2443)</f>
        <v>20083.091489999999</v>
      </c>
    </row>
    <row r="2445" spans="1:22" x14ac:dyDescent="0.2">
      <c r="A2445" s="293"/>
      <c r="B2445" s="336"/>
      <c r="C2445" s="359"/>
      <c r="D2445" s="359"/>
      <c r="E2445" s="384"/>
      <c r="F2445" s="384" t="s">
        <v>466</v>
      </c>
      <c r="G2445" s="483">
        <f t="shared" ref="G2445:L2445" si="835">G1531</f>
        <v>4445.3999999999996</v>
      </c>
      <c r="H2445" s="483">
        <f t="shared" si="835"/>
        <v>0</v>
      </c>
      <c r="I2445" s="483">
        <f t="shared" si="835"/>
        <v>4644.5</v>
      </c>
      <c r="J2445" s="483">
        <f t="shared" si="835"/>
        <v>0</v>
      </c>
      <c r="K2445" s="295">
        <f t="shared" si="835"/>
        <v>199.10000000000036</v>
      </c>
      <c r="L2445" s="295">
        <f t="shared" si="835"/>
        <v>0</v>
      </c>
      <c r="N2445" s="295">
        <f>N1531</f>
        <v>1504.3</v>
      </c>
      <c r="R2445" s="295">
        <f>R1531</f>
        <v>3271.221</v>
      </c>
      <c r="S2445" s="295">
        <f>S1531</f>
        <v>0</v>
      </c>
      <c r="U2445" s="483">
        <f>U1531</f>
        <v>3069.7</v>
      </c>
      <c r="V2445" s="483">
        <f>V1531</f>
        <v>0</v>
      </c>
    </row>
    <row r="2446" spans="1:22" x14ac:dyDescent="0.2">
      <c r="A2446" s="293"/>
      <c r="B2446" s="336"/>
      <c r="C2446" s="359"/>
      <c r="D2446" s="359"/>
      <c r="E2446" s="384"/>
      <c r="F2446" s="384" t="s">
        <v>25</v>
      </c>
      <c r="G2446" s="483">
        <f t="shared" ref="G2446:L2446" si="836">G1221+G739+G1535+G476+G2265+G206</f>
        <v>5446.2249999999995</v>
      </c>
      <c r="H2446" s="483">
        <f t="shared" si="836"/>
        <v>0</v>
      </c>
      <c r="I2446" s="483">
        <f t="shared" si="836"/>
        <v>6390.8249999999998</v>
      </c>
      <c r="J2446" s="483">
        <f t="shared" si="836"/>
        <v>0</v>
      </c>
      <c r="K2446" s="295">
        <f t="shared" si="836"/>
        <v>944.59999999999991</v>
      </c>
      <c r="L2446" s="295">
        <f t="shared" si="836"/>
        <v>0</v>
      </c>
      <c r="N2446" s="295" t="e">
        <f>N1221+N739+N1535</f>
        <v>#REF!</v>
      </c>
      <c r="R2446" s="483">
        <f>R1221+R739+R1535+R476+R2265+R206</f>
        <v>9259.625</v>
      </c>
      <c r="S2446" s="483">
        <f>S1221+S739+S1535+S476+S2265+S206</f>
        <v>0</v>
      </c>
      <c r="U2446" s="483">
        <f>U1221+U739+U1535+U476+U2265+U206</f>
        <v>8618.4836300000006</v>
      </c>
      <c r="V2446" s="483">
        <f>V1221+V739+V1535+V476+V2265+V206</f>
        <v>1014.21336</v>
      </c>
    </row>
    <row r="2447" spans="1:22" x14ac:dyDescent="0.2">
      <c r="A2447" s="293"/>
      <c r="B2447" s="336"/>
      <c r="C2447" s="359"/>
      <c r="D2447" s="359"/>
      <c r="E2447" s="384"/>
      <c r="F2447" s="384">
        <v>1004</v>
      </c>
      <c r="G2447" s="483">
        <f t="shared" ref="G2447:L2447" si="837">G2282</f>
        <v>1080.45</v>
      </c>
      <c r="H2447" s="483">
        <f t="shared" si="837"/>
        <v>592.6</v>
      </c>
      <c r="I2447" s="483">
        <f>I2282</f>
        <v>1160.45</v>
      </c>
      <c r="J2447" s="483">
        <f>J2282</f>
        <v>592.6</v>
      </c>
      <c r="K2447" s="295">
        <f t="shared" si="837"/>
        <v>80</v>
      </c>
      <c r="L2447" s="295">
        <f t="shared" si="837"/>
        <v>0</v>
      </c>
      <c r="N2447" s="295"/>
      <c r="R2447" s="295">
        <f>R2282</f>
        <v>1256.8499999999999</v>
      </c>
      <c r="S2447" s="295">
        <f>S2282</f>
        <v>776.94028000000014</v>
      </c>
      <c r="U2447" s="483"/>
      <c r="V2447" s="483"/>
    </row>
    <row r="2448" spans="1:22" x14ac:dyDescent="0.2">
      <c r="A2448" s="293"/>
      <c r="B2448" s="336"/>
      <c r="C2448" s="359"/>
      <c r="D2448" s="359"/>
      <c r="E2448" s="384"/>
      <c r="F2448" s="384" t="s">
        <v>267</v>
      </c>
      <c r="G2448" s="483">
        <f t="shared" ref="G2448:L2448" si="838">G1562+G484</f>
        <v>4493.0000000000009</v>
      </c>
      <c r="H2448" s="483">
        <f t="shared" si="838"/>
        <v>0</v>
      </c>
      <c r="I2448" s="483">
        <f t="shared" si="838"/>
        <v>6493</v>
      </c>
      <c r="J2448" s="483">
        <f t="shared" si="838"/>
        <v>0</v>
      </c>
      <c r="K2448" s="295">
        <f t="shared" si="838"/>
        <v>1999.9999999999991</v>
      </c>
      <c r="L2448" s="295">
        <f t="shared" si="838"/>
        <v>0</v>
      </c>
      <c r="N2448" s="295">
        <f>N1562</f>
        <v>1986</v>
      </c>
      <c r="R2448" s="295">
        <f>R1562+R484</f>
        <v>3003.75</v>
      </c>
      <c r="S2448" s="295">
        <f>S1562+S484</f>
        <v>0</v>
      </c>
      <c r="U2448" s="483">
        <f>U1562</f>
        <v>2425.7400000000002</v>
      </c>
      <c r="V2448" s="483">
        <f>V1562</f>
        <v>0</v>
      </c>
    </row>
    <row r="2449" spans="1:22" x14ac:dyDescent="0.2">
      <c r="A2449" s="293"/>
      <c r="B2449" s="336"/>
      <c r="C2449" s="359"/>
      <c r="D2449" s="359"/>
      <c r="E2449" s="384"/>
      <c r="F2449" s="384" t="s">
        <v>296</v>
      </c>
      <c r="G2449" s="485">
        <f t="shared" ref="G2449:L2449" si="839">SUM(G2445:G2448)</f>
        <v>15465.075000000001</v>
      </c>
      <c r="H2449" s="485">
        <f t="shared" si="839"/>
        <v>592.6</v>
      </c>
      <c r="I2449" s="485">
        <f>SUM(I2445:I2448)</f>
        <v>18688.775000000001</v>
      </c>
      <c r="J2449" s="485">
        <f>SUM(J2445:J2448)</f>
        <v>592.6</v>
      </c>
      <c r="K2449" s="296">
        <f t="shared" si="839"/>
        <v>3223.6999999999994</v>
      </c>
      <c r="L2449" s="296">
        <f t="shared" si="839"/>
        <v>0</v>
      </c>
      <c r="N2449" s="296" t="e">
        <f>SUM(N2445:N2448)</f>
        <v>#REF!</v>
      </c>
      <c r="R2449" s="296">
        <f>SUM(R2445:R2448)</f>
        <v>16791.446</v>
      </c>
      <c r="S2449" s="296">
        <f>SUM(S2445:S2448)</f>
        <v>776.94028000000014</v>
      </c>
      <c r="U2449" s="485">
        <f>SUM(U2445:U2448)</f>
        <v>14113.923629999999</v>
      </c>
      <c r="V2449" s="485">
        <f>SUM(V2445:V2448)</f>
        <v>1014.21336</v>
      </c>
    </row>
    <row r="2450" spans="1:22" x14ac:dyDescent="0.2">
      <c r="A2450" s="293"/>
      <c r="B2450" s="336"/>
      <c r="C2450" s="359"/>
      <c r="D2450" s="359"/>
      <c r="E2450" s="384"/>
      <c r="F2450" s="384" t="s">
        <v>268</v>
      </c>
      <c r="G2450" s="483">
        <f t="shared" ref="G2450:L2450" si="840">G1583+G2289</f>
        <v>14315.979429999999</v>
      </c>
      <c r="H2450" s="483">
        <f t="shared" si="840"/>
        <v>0</v>
      </c>
      <c r="I2450" s="483">
        <f t="shared" si="840"/>
        <v>20044.49409</v>
      </c>
      <c r="J2450" s="483">
        <f t="shared" si="840"/>
        <v>0</v>
      </c>
      <c r="K2450" s="295">
        <f t="shared" si="840"/>
        <v>5728.5146600000007</v>
      </c>
      <c r="L2450" s="295">
        <f t="shared" si="840"/>
        <v>0</v>
      </c>
      <c r="N2450" s="295" t="e">
        <f>N1583</f>
        <v>#REF!</v>
      </c>
      <c r="R2450" s="295">
        <f>R1583+R2289</f>
        <v>15399.83114</v>
      </c>
      <c r="S2450" s="295">
        <f>S1583+S2289</f>
        <v>0</v>
      </c>
      <c r="U2450" s="483">
        <f>U1583+U2289</f>
        <v>12981.086860000001</v>
      </c>
      <c r="V2450" s="483">
        <f>V1583+V2289</f>
        <v>0</v>
      </c>
    </row>
    <row r="2451" spans="1:22" x14ac:dyDescent="0.2">
      <c r="A2451" s="293"/>
      <c r="B2451" s="336"/>
      <c r="C2451" s="359"/>
      <c r="D2451" s="359"/>
      <c r="E2451" s="384"/>
      <c r="F2451" s="384" t="s">
        <v>1167</v>
      </c>
      <c r="G2451" s="483">
        <f t="shared" ref="G2451:L2451" si="841">G2324</f>
        <v>15290.002780000001</v>
      </c>
      <c r="H2451" s="483">
        <f t="shared" si="841"/>
        <v>147.35</v>
      </c>
      <c r="I2451" s="483">
        <f>I2324</f>
        <v>21715.844779999999</v>
      </c>
      <c r="J2451" s="483">
        <f>J2324</f>
        <v>147.35</v>
      </c>
      <c r="K2451" s="295">
        <f t="shared" si="841"/>
        <v>6425.8419999999987</v>
      </c>
      <c r="L2451" s="295">
        <f t="shared" si="841"/>
        <v>0</v>
      </c>
      <c r="N2451" s="295"/>
      <c r="R2451" s="295">
        <f>R2324</f>
        <v>14737.02486</v>
      </c>
      <c r="S2451" s="295">
        <f>S2324</f>
        <v>2303.9213199999999</v>
      </c>
      <c r="U2451" s="483" t="e">
        <f>U2324</f>
        <v>#REF!</v>
      </c>
      <c r="V2451" s="483" t="e">
        <f>V2324</f>
        <v>#REF!</v>
      </c>
    </row>
    <row r="2452" spans="1:22" x14ac:dyDescent="0.2">
      <c r="A2452" s="293"/>
      <c r="B2452" s="336"/>
      <c r="C2452" s="359"/>
      <c r="D2452" s="359"/>
      <c r="E2452" s="384"/>
      <c r="F2452" s="384" t="s">
        <v>1141</v>
      </c>
      <c r="G2452" s="483">
        <f t="shared" ref="G2452:L2452" si="842">G2339</f>
        <v>1469.2267400000001</v>
      </c>
      <c r="H2452" s="483">
        <f t="shared" si="842"/>
        <v>0</v>
      </c>
      <c r="I2452" s="483">
        <f>I2339</f>
        <v>2211.59202</v>
      </c>
      <c r="J2452" s="483">
        <f>J2339</f>
        <v>40</v>
      </c>
      <c r="K2452" s="295">
        <f t="shared" si="842"/>
        <v>742.36527999999998</v>
      </c>
      <c r="L2452" s="295">
        <f t="shared" si="842"/>
        <v>40</v>
      </c>
      <c r="N2452" s="295"/>
      <c r="R2452" s="295">
        <f>R2339</f>
        <v>1647.6907799999999</v>
      </c>
      <c r="S2452" s="295">
        <f>S2339</f>
        <v>0</v>
      </c>
      <c r="U2452" s="483">
        <f>U2339</f>
        <v>1582.4364399999999</v>
      </c>
      <c r="V2452" s="483">
        <f>V2339</f>
        <v>0</v>
      </c>
    </row>
    <row r="2453" spans="1:22" x14ac:dyDescent="0.2">
      <c r="A2453" s="293"/>
      <c r="B2453" s="336"/>
      <c r="C2453" s="359"/>
      <c r="D2453" s="359"/>
      <c r="E2453" s="384"/>
      <c r="F2453" s="384" t="s">
        <v>28</v>
      </c>
      <c r="G2453" s="485">
        <f t="shared" ref="G2453:L2453" si="843">G2450+G2452+G2451</f>
        <v>31075.20895</v>
      </c>
      <c r="H2453" s="485">
        <f t="shared" si="843"/>
        <v>147.35</v>
      </c>
      <c r="I2453" s="485">
        <f>I2450+I2452+I2451</f>
        <v>43971.930890000003</v>
      </c>
      <c r="J2453" s="485">
        <f>J2450+J2452+J2451</f>
        <v>187.35</v>
      </c>
      <c r="K2453" s="296">
        <f t="shared" si="843"/>
        <v>12896.721939999999</v>
      </c>
      <c r="L2453" s="296">
        <f t="shared" si="843"/>
        <v>40</v>
      </c>
      <c r="N2453" s="296" t="e">
        <f>N2450</f>
        <v>#REF!</v>
      </c>
      <c r="R2453" s="296">
        <f>R2450+R2452+R2451</f>
        <v>31784.546779999997</v>
      </c>
      <c r="S2453" s="296">
        <f>S2450+S2452+S2451</f>
        <v>2303.9213199999999</v>
      </c>
      <c r="U2453" s="485" t="e">
        <f>U2450+U2452+U2451</f>
        <v>#REF!</v>
      </c>
      <c r="V2453" s="485" t="e">
        <f>V2450+V2452+V2451</f>
        <v>#REF!</v>
      </c>
    </row>
    <row r="2454" spans="1:22" x14ac:dyDescent="0.2">
      <c r="A2454" s="293"/>
      <c r="B2454" s="336"/>
      <c r="C2454" s="359"/>
      <c r="D2454" s="359"/>
      <c r="E2454" s="384"/>
      <c r="F2454" s="384" t="s">
        <v>269</v>
      </c>
      <c r="G2454" s="483">
        <f t="shared" ref="G2454:L2454" si="844">G1608</f>
        <v>3864.02468</v>
      </c>
      <c r="H2454" s="483">
        <f t="shared" si="844"/>
        <v>0</v>
      </c>
      <c r="I2454" s="483">
        <f t="shared" si="844"/>
        <v>3864.02468</v>
      </c>
      <c r="J2454" s="483">
        <f t="shared" si="844"/>
        <v>0</v>
      </c>
      <c r="K2454" s="295">
        <f t="shared" si="844"/>
        <v>0</v>
      </c>
      <c r="L2454" s="295">
        <f t="shared" si="844"/>
        <v>0</v>
      </c>
      <c r="N2454" s="295">
        <f>N1608</f>
        <v>1559</v>
      </c>
      <c r="R2454" s="295">
        <f>R1608</f>
        <v>1907.2</v>
      </c>
      <c r="S2454" s="295">
        <f>S1608</f>
        <v>0</v>
      </c>
      <c r="U2454" s="483">
        <f>U1608</f>
        <v>1907.2</v>
      </c>
      <c r="V2454" s="483">
        <f>V1608</f>
        <v>0</v>
      </c>
    </row>
    <row r="2455" spans="1:22" x14ac:dyDescent="0.2">
      <c r="A2455" s="293"/>
      <c r="B2455" s="336"/>
      <c r="C2455" s="359"/>
      <c r="D2455" s="359"/>
      <c r="E2455" s="384"/>
      <c r="F2455" s="384" t="s">
        <v>619</v>
      </c>
      <c r="G2455" s="485">
        <f t="shared" ref="G2455:L2455" si="845">G2454</f>
        <v>3864.02468</v>
      </c>
      <c r="H2455" s="485">
        <f t="shared" si="845"/>
        <v>0</v>
      </c>
      <c r="I2455" s="485">
        <f>I2454</f>
        <v>3864.02468</v>
      </c>
      <c r="J2455" s="485">
        <f>J2454</f>
        <v>0</v>
      </c>
      <c r="K2455" s="296">
        <f t="shared" si="845"/>
        <v>0</v>
      </c>
      <c r="L2455" s="296">
        <f t="shared" si="845"/>
        <v>0</v>
      </c>
      <c r="N2455" s="296">
        <f>N2454</f>
        <v>1559</v>
      </c>
      <c r="R2455" s="296">
        <f>R2454</f>
        <v>1907.2</v>
      </c>
      <c r="S2455" s="296">
        <f>S2454</f>
        <v>0</v>
      </c>
      <c r="U2455" s="485">
        <f>U2454</f>
        <v>1907.2</v>
      </c>
      <c r="V2455" s="485">
        <f>V2454</f>
        <v>0</v>
      </c>
    </row>
    <row r="2456" spans="1:22" x14ac:dyDescent="0.2">
      <c r="A2456" s="293"/>
      <c r="B2456" s="336"/>
      <c r="C2456" s="359"/>
      <c r="D2456" s="359"/>
      <c r="E2456" s="384"/>
      <c r="F2456" s="384" t="s">
        <v>270</v>
      </c>
      <c r="G2456" s="483">
        <f t="shared" ref="G2456:L2456" si="846">G1718</f>
        <v>12.985889999999999</v>
      </c>
      <c r="H2456" s="483">
        <f t="shared" si="846"/>
        <v>0</v>
      </c>
      <c r="I2456" s="483">
        <f t="shared" si="846"/>
        <v>12.985889999999999</v>
      </c>
      <c r="J2456" s="483">
        <f t="shared" si="846"/>
        <v>0</v>
      </c>
      <c r="K2456" s="295">
        <f t="shared" si="846"/>
        <v>0</v>
      </c>
      <c r="L2456" s="295">
        <f t="shared" si="846"/>
        <v>0</v>
      </c>
      <c r="N2456" s="295">
        <f>N1718</f>
        <v>21.5</v>
      </c>
      <c r="R2456" s="295">
        <f>R1718</f>
        <v>28.452059999999999</v>
      </c>
      <c r="S2456" s="295">
        <f>S1718</f>
        <v>0</v>
      </c>
      <c r="U2456" s="483">
        <f>U1718</f>
        <v>26.971779999999999</v>
      </c>
      <c r="V2456" s="483">
        <f>V1718</f>
        <v>0</v>
      </c>
    </row>
    <row r="2457" spans="1:22" x14ac:dyDescent="0.2">
      <c r="A2457" s="293"/>
      <c r="B2457" s="336"/>
      <c r="C2457" s="359"/>
      <c r="D2457" s="359"/>
      <c r="E2457" s="384"/>
      <c r="F2457" s="384" t="s">
        <v>620</v>
      </c>
      <c r="G2457" s="485">
        <f t="shared" ref="G2457:L2457" si="847">G2456</f>
        <v>12.985889999999999</v>
      </c>
      <c r="H2457" s="485">
        <f t="shared" si="847"/>
        <v>0</v>
      </c>
      <c r="I2457" s="485">
        <f>I2456</f>
        <v>12.985889999999999</v>
      </c>
      <c r="J2457" s="485">
        <f>J2456</f>
        <v>0</v>
      </c>
      <c r="K2457" s="296">
        <f t="shared" si="847"/>
        <v>0</v>
      </c>
      <c r="L2457" s="296">
        <f t="shared" si="847"/>
        <v>0</v>
      </c>
      <c r="N2457" s="296">
        <f>N2456</f>
        <v>21.5</v>
      </c>
      <c r="R2457" s="296">
        <f>R2456</f>
        <v>28.452059999999999</v>
      </c>
      <c r="S2457" s="296">
        <f>S2456</f>
        <v>0</v>
      </c>
      <c r="U2457" s="485">
        <f>U2456</f>
        <v>26.971779999999999</v>
      </c>
      <c r="V2457" s="485">
        <f>V2456</f>
        <v>0</v>
      </c>
    </row>
    <row r="2458" spans="1:22" x14ac:dyDescent="0.2">
      <c r="A2458" s="293"/>
      <c r="B2458" s="336"/>
      <c r="C2458" s="359"/>
      <c r="D2458" s="359"/>
      <c r="E2458" s="384"/>
      <c r="F2458" s="384" t="s">
        <v>271</v>
      </c>
      <c r="G2458" s="485">
        <f t="shared" ref="G2458:L2458" si="848">G1725</f>
        <v>77.400000000000006</v>
      </c>
      <c r="H2458" s="485">
        <f t="shared" si="848"/>
        <v>0</v>
      </c>
      <c r="I2458" s="485">
        <f t="shared" si="848"/>
        <v>77.400000000000006</v>
      </c>
      <c r="J2458" s="485">
        <f t="shared" si="848"/>
        <v>0</v>
      </c>
      <c r="K2458" s="296">
        <f t="shared" si="848"/>
        <v>0</v>
      </c>
      <c r="L2458" s="296">
        <f t="shared" si="848"/>
        <v>0</v>
      </c>
      <c r="N2458" s="296">
        <f>N1725</f>
        <v>54.8</v>
      </c>
      <c r="R2458" s="296">
        <f>R1725</f>
        <v>69.890410000000003</v>
      </c>
      <c r="S2458" s="296">
        <f>S1725</f>
        <v>0</v>
      </c>
      <c r="U2458" s="485">
        <f>U1725</f>
        <v>66.7</v>
      </c>
      <c r="V2458" s="485">
        <f>V1725</f>
        <v>0</v>
      </c>
    </row>
    <row r="2459" spans="1:22" x14ac:dyDescent="0.2">
      <c r="A2459" s="293"/>
      <c r="B2459" s="336"/>
      <c r="C2459" s="359"/>
      <c r="D2459" s="359"/>
      <c r="E2459" s="384"/>
      <c r="F2459" s="384" t="s">
        <v>272</v>
      </c>
      <c r="G2459" s="485">
        <f t="shared" ref="G2459:L2459" si="849">G1731</f>
        <v>0</v>
      </c>
      <c r="H2459" s="485">
        <f t="shared" si="849"/>
        <v>0</v>
      </c>
      <c r="I2459" s="485">
        <f t="shared" si="849"/>
        <v>0</v>
      </c>
      <c r="J2459" s="485">
        <f t="shared" si="849"/>
        <v>0</v>
      </c>
      <c r="K2459" s="296">
        <f t="shared" si="849"/>
        <v>0</v>
      </c>
      <c r="L2459" s="296">
        <f t="shared" si="849"/>
        <v>0</v>
      </c>
      <c r="N2459" s="296">
        <f>N1731</f>
        <v>0</v>
      </c>
      <c r="R2459" s="296">
        <f>R1731</f>
        <v>0</v>
      </c>
      <c r="S2459" s="296">
        <f>S1731</f>
        <v>0</v>
      </c>
      <c r="U2459" s="485">
        <f>U1731</f>
        <v>0</v>
      </c>
      <c r="V2459" s="485">
        <f>V1731</f>
        <v>0</v>
      </c>
    </row>
    <row r="2460" spans="1:22" x14ac:dyDescent="0.2">
      <c r="A2460" s="293"/>
      <c r="B2460" s="336"/>
      <c r="C2460" s="359"/>
      <c r="D2460" s="359"/>
      <c r="E2460" s="384"/>
      <c r="F2460" s="384" t="s">
        <v>273</v>
      </c>
      <c r="G2460" s="485">
        <f t="shared" ref="G2460:L2460" si="850">G1737+G746+G1617+G2174+G489+G211+G2360</f>
        <v>66429.180999999997</v>
      </c>
      <c r="H2460" s="485">
        <f t="shared" si="850"/>
        <v>0</v>
      </c>
      <c r="I2460" s="485">
        <f t="shared" si="850"/>
        <v>74520.380999999994</v>
      </c>
      <c r="J2460" s="485">
        <f t="shared" si="850"/>
        <v>329</v>
      </c>
      <c r="K2460" s="296">
        <f t="shared" si="850"/>
        <v>8091.1999999999971</v>
      </c>
      <c r="L2460" s="296">
        <f t="shared" si="850"/>
        <v>329</v>
      </c>
      <c r="N2460" s="296" t="e">
        <f>N1737+N746+N1617+N2174+N489</f>
        <v>#REF!</v>
      </c>
      <c r="R2460" s="296">
        <f>R1737+R746+R1617+R2174+R489+R211+R2360</f>
        <v>60245.496900000006</v>
      </c>
      <c r="S2460" s="296">
        <f>S1737+S746+S1617+S2174+S489+S211+S2360</f>
        <v>0</v>
      </c>
      <c r="U2460" s="485">
        <f>U1737+U746+U1617+U2174+U489+U211+U2360</f>
        <v>89881.579620000019</v>
      </c>
      <c r="V2460" s="485">
        <f>V1737+V746+V1617+V2174+V489+V211+V2360</f>
        <v>27639.603750000002</v>
      </c>
    </row>
    <row r="2461" spans="1:22" x14ac:dyDescent="0.2">
      <c r="A2461" s="293"/>
      <c r="B2461" s="336"/>
      <c r="C2461" s="359"/>
      <c r="D2461" s="359"/>
      <c r="E2461" s="384"/>
      <c r="F2461" s="384" t="s">
        <v>621</v>
      </c>
      <c r="G2461" s="485">
        <f t="shared" ref="G2461:L2461" si="851">SUM(G2458:G2460)</f>
        <v>66506.580999999991</v>
      </c>
      <c r="H2461" s="485">
        <f t="shared" si="851"/>
        <v>0</v>
      </c>
      <c r="I2461" s="485">
        <f>SUM(I2458:I2460)</f>
        <v>74597.780999999988</v>
      </c>
      <c r="J2461" s="485">
        <f>SUM(J2458:J2460)</f>
        <v>329</v>
      </c>
      <c r="K2461" s="296">
        <f t="shared" si="851"/>
        <v>8091.1999999999971</v>
      </c>
      <c r="L2461" s="296">
        <f t="shared" si="851"/>
        <v>329</v>
      </c>
      <c r="N2461" s="296" t="e">
        <f>SUM(N2458:N2460)</f>
        <v>#REF!</v>
      </c>
      <c r="R2461" s="296">
        <f>SUM(R2458:R2460)</f>
        <v>60315.387310000006</v>
      </c>
      <c r="S2461" s="296">
        <f>SUM(S2458:S2460)</f>
        <v>0</v>
      </c>
      <c r="U2461" s="485">
        <f>SUM(U2458:U2460)</f>
        <v>89948.279620000016</v>
      </c>
      <c r="V2461" s="485">
        <f>SUM(V2458:V2460)</f>
        <v>27639.603750000002</v>
      </c>
    </row>
    <row r="2462" spans="1:22" x14ac:dyDescent="0.2">
      <c r="A2462" s="123"/>
      <c r="B2462" s="335"/>
      <c r="C2462" s="358"/>
      <c r="D2462" s="358"/>
      <c r="E2462" s="372"/>
      <c r="F2462" s="372" t="s">
        <v>171</v>
      </c>
      <c r="G2462" s="486"/>
      <c r="H2462" s="486"/>
      <c r="I2462" s="486"/>
      <c r="J2462" s="486"/>
      <c r="K2462" s="45"/>
      <c r="L2462" s="45"/>
      <c r="N2462" s="45"/>
      <c r="P2462" s="260" t="s">
        <v>1169</v>
      </c>
      <c r="Q2462" s="260"/>
      <c r="R2462" s="45"/>
      <c r="S2462" s="45"/>
      <c r="U2462" s="486"/>
      <c r="V2462" s="486"/>
    </row>
    <row r="2463" spans="1:22" x14ac:dyDescent="0.2">
      <c r="A2463" s="293"/>
      <c r="B2463" s="336"/>
      <c r="C2463" s="359"/>
      <c r="D2463" s="359"/>
      <c r="E2463" s="384"/>
      <c r="F2463" s="384"/>
      <c r="G2463" s="485">
        <f t="shared" ref="G2463:L2463" si="852">G2461+G2455+G2453+G2449+G2444+G2442+G2439+G2430+G2425+G2418+G2415+G2457+G2462+G2432</f>
        <v>1933348.7677599997</v>
      </c>
      <c r="H2463" s="485">
        <f t="shared" si="852"/>
        <v>552456.90230999992</v>
      </c>
      <c r="I2463" s="485">
        <f>I2461+I2455+I2453+I2449+I2444+I2442+I2439+I2430+I2425+I2418+I2415+I2457+I2462+I2432</f>
        <v>2219807.5769100008</v>
      </c>
      <c r="J2463" s="485">
        <f>J2461+J2455+J2453+J2449+J2444+J2442+J2439+J2430+J2425+J2418+J2415+J2457+J2462+J2432</f>
        <v>577092.04270999995</v>
      </c>
      <c r="K2463" s="296">
        <f t="shared" si="852"/>
        <v>286458.8091500001</v>
      </c>
      <c r="L2463" s="296">
        <f t="shared" si="852"/>
        <v>24635.140400000008</v>
      </c>
      <c r="N2463" s="296" t="e">
        <f>N2461+N2455+N2453+N2449+N2444+N2442+N2439+N2430+N2425+N2418+N2415+N2457+N2462</f>
        <v>#REF!</v>
      </c>
      <c r="P2463" s="260" t="s">
        <v>1170</v>
      </c>
      <c r="Q2463" s="260"/>
      <c r="R2463" s="296" t="e">
        <f>R2461+R2455+R2453+R2449+R2444+R2442+R2439+R2430+R2425+R2418+R2415+R2457+R2462+R2432</f>
        <v>#REF!</v>
      </c>
      <c r="S2463" s="296" t="e">
        <f>S2461+S2455+S2453+S2449+S2444+S2442+S2439+S2430+S2425+S2418+S2415+S2457+S2462+S2432</f>
        <v>#REF!</v>
      </c>
      <c r="U2463" s="485" t="e">
        <f>U2461+U2455+U2453+U2449+U2444+U2442+U2439+U2430+U2425+U2418+U2415+U2457+U2462+U2432</f>
        <v>#REF!</v>
      </c>
      <c r="V2463" s="485" t="e">
        <f>V2461+V2455+V2453+V2449+V2444+V2442+V2439+V2430+V2425+V2418+V2415+V2457+V2462+V2432</f>
        <v>#REF!</v>
      </c>
    </row>
    <row r="2464" spans="1:22" x14ac:dyDescent="0.2">
      <c r="A2464" s="293"/>
      <c r="B2464" s="336"/>
      <c r="C2464" s="359"/>
      <c r="D2464" s="359"/>
      <c r="E2464" s="384"/>
      <c r="F2464" s="384"/>
      <c r="G2464" s="485">
        <f t="shared" ref="G2464:L2464" si="853">G2463-G2366</f>
        <v>0</v>
      </c>
      <c r="H2464" s="485">
        <f t="shared" si="853"/>
        <v>0</v>
      </c>
      <c r="I2464" s="485">
        <f>I2463-I2366</f>
        <v>0</v>
      </c>
      <c r="J2464" s="485">
        <f>J2463-J2366</f>
        <v>0</v>
      </c>
      <c r="K2464" s="296">
        <f t="shared" si="853"/>
        <v>0</v>
      </c>
      <c r="L2464" s="296">
        <f t="shared" si="853"/>
        <v>0</v>
      </c>
      <c r="N2464" s="296" t="e">
        <f>N2463-N2366</f>
        <v>#REF!</v>
      </c>
      <c r="R2464" s="296" t="e">
        <f>R2463-R2366</f>
        <v>#REF!</v>
      </c>
      <c r="S2464" s="296" t="e">
        <f>S2463-S2366</f>
        <v>#REF!</v>
      </c>
      <c r="U2464" s="485" t="e">
        <f>U2463-U2366</f>
        <v>#REF!</v>
      </c>
      <c r="V2464" s="485" t="e">
        <f>V2463-V2366</f>
        <v>#REF!</v>
      </c>
    </row>
    <row r="2465" spans="1:22" x14ac:dyDescent="0.2">
      <c r="A2465" s="293"/>
      <c r="B2465" s="336"/>
      <c r="C2465" s="359"/>
      <c r="D2465" s="359"/>
      <c r="E2465" s="384"/>
      <c r="F2465" s="384"/>
      <c r="G2465" s="485"/>
      <c r="H2465" s="485"/>
      <c r="I2465" s="485"/>
      <c r="J2465" s="485"/>
      <c r="K2465" s="296"/>
      <c r="L2465" s="296"/>
      <c r="N2465" s="296"/>
      <c r="R2465" s="296"/>
      <c r="S2465" s="296"/>
      <c r="U2465" s="485"/>
      <c r="V2465" s="485"/>
    </row>
    <row r="2466" spans="1:22" x14ac:dyDescent="0.2">
      <c r="A2466" s="293"/>
      <c r="B2466" s="336"/>
      <c r="C2466" s="359"/>
      <c r="D2466" s="359"/>
      <c r="E2466" s="384"/>
      <c r="F2466" s="384" t="s">
        <v>1403</v>
      </c>
      <c r="G2466" s="485">
        <f t="shared" ref="G2466:L2466" si="854">G215+G218+G221+G223+G493+G495+G500+G504+G507+G510+G513+G516+G519+G521+G523+G525+G617+G751+G753+G757+G761+G764+G767+G771+G773+G775+G779+G782+G784+G786+G790+G793+G796+G798+G800+G802+G1352+G1460+G1462+G1481+G1623+G1626+G1631+G1633+G1636+G1639+G1643+G1647+G1650+G1652+G1654+G1656+G1658+G1660+G1662+G1664+G1666+G1668+G1742+G1744+G1746+G1748+G1750+G1752+G1754+G1756+G1759+G1761+G1763+G1766+G1824+G2070+G2099+G2179+G2183+G2186+G2189+G2194+G2197+G2199+G2201+G2203+G2205+G2207+G2209+G2365+G2150+G2077+G2074+G1477+G1332+G629+G606+G601+G328+G369+G610+G614+G742+G1372+G1436+G1467+G1470</f>
        <v>112686.54779000001</v>
      </c>
      <c r="H2466" s="485">
        <f t="shared" si="854"/>
        <v>9537.0958699999992</v>
      </c>
      <c r="I2466" s="485">
        <f t="shared" si="854"/>
        <v>121477.86818999998</v>
      </c>
      <c r="J2466" s="485">
        <f t="shared" si="854"/>
        <v>9866.0958699999992</v>
      </c>
      <c r="K2466" s="296">
        <f t="shared" si="854"/>
        <v>8791.3204000000023</v>
      </c>
      <c r="L2466" s="296">
        <f t="shared" si="854"/>
        <v>329</v>
      </c>
      <c r="N2466" s="296"/>
      <c r="R2466" s="296">
        <f>R215+R218+R221+R223+R493+R495+R500+R504+R507+R510+R513+R516+R519+R521+R523+R525+R617+R751+R753+R757+R761+R764+R767+R771+R773+R775+R779+R782+R784+R786+R790+R793+R796+R798+R800+R802+R1352+R1460+R1462+R1481+R1623+R1626+R1631+R1633+R1636+R1639+R1643+R1647+R1650+R1652+R1654+R1656+R1658+R1660+R1662+R1664+R1666+R1668+R1742+R1744+R1746+R1748+R1750+R1752+R1754+R1756+R1759+R1761+R1763+R1766+R1824+R2070+R2099+R2179+R2183+R2186+R2189+R2194+R2197+R2199+R2201+R2203+R2205+R2207+R2209+R2365+R2150+R2077+R2074+R1477+R1332+R629+R606+R601+R328+R369+R610+R614+R742+R1372+R1436+R1467+R1470</f>
        <v>112118.36683000001</v>
      </c>
      <c r="S2466" s="296">
        <f>S215+S218+S221+S223+S493+S495+S500+S504+S507+S510+S513+S516+S519+S521+S523+S525+S617+S751+S753+S757+S761+S764+S767+S771+S773+S775+S779+S782+S784+S786+S790+S793+S796+S798+S800+S802+S1352+S1460+S1462+S1481+S1623+S1626+S1631+S1633+S1636+S1639+S1643+S1647+S1650+S1652+S1654+S1656+S1658+S1660+S1662+S1664+S1666+S1668+S1742+S1744+S1746+S1748+S1750+S1752+S1754+S1756+S1759+S1761+S1763+S1766+S1824+S2070+S2099+S2179+S2183+S2186+S2189+S2194+S2197+S2199+S2201+S2203+S2205+S2207+S2209+S2365+S2150+S2077+S2074+S1477+S1332+S629+S606+S601+S328+S369+S610+S614+S742+S1372+S1436+S1467+S1470</f>
        <v>14519.971799999999</v>
      </c>
      <c r="U2466" s="485">
        <f>U215+U218+U221+U223+U493+U495+U500+U504+U507+U510+U513+U516+U519+U521+U523+U525+U617+U751+U753+U757+U761+U764+U767+U771+U773+U775+U779+U782+U784+U786+U790+U793+U796+U798+U800+U802+U1352+U1460+U1462+U1481+U1623+U1626+U1631+U1633+U1636+U1639+U1643+U1647+U1650+U1652+U1654+U1656+U1658+U1660+U1662+U1664+U1666+U1668+U1742+U1744+U1746+U1748+U1750+U1752+U1754+U1756+U1759+U1761+U1763+U1766+U1824+U2070+U2099+U2179+U2183+U2186+U2189+U2194+U2197+U2199+U2201+U2203+U2205+U2207+U2209+U2365</f>
        <v>143484.11129</v>
      </c>
      <c r="V2466" s="485">
        <f>V215+V218+V221+V223+V493+V495+V500+V504+V507+V510+V513+V516+V519+V521+V523+V525+V617+V751+V753+V757+V761+V764+V767+V771+V773+V775+V779+V782+V784+V786+V790+V793+V796+V798+V800+V802+V1352+V1460+V1462+V1481+V1623+V1626+V1631+V1633+V1636+V1639+V1643+V1647+V1650+V1652+V1654+V1656+V1658+V1660+V1662+V1664+V1666+V1668+V1742+V1744+V1746+V1748+V1750+V1752+V1754+V1756+V1759+V1761+V1763+V1766+V1824+V2070+V2099+V2179+V2183+V2186+V2189+V2194+V2197+V2199+V2201+V2203+V2205+V2207+V2209+V2365</f>
        <v>34165.95983</v>
      </c>
    </row>
    <row r="2467" spans="1:22" x14ac:dyDescent="0.2">
      <c r="A2467" s="123" t="s">
        <v>26</v>
      </c>
      <c r="B2467" s="335" t="s">
        <v>208</v>
      </c>
      <c r="C2467" s="358"/>
      <c r="D2467" s="358"/>
      <c r="E2467" s="372"/>
      <c r="F2467" s="372"/>
      <c r="G2467" s="440"/>
      <c r="H2467" s="440"/>
      <c r="I2467" s="440"/>
      <c r="J2467" s="440"/>
      <c r="K2467" s="41"/>
      <c r="L2467" s="41"/>
      <c r="N2467" s="41"/>
      <c r="R2467" s="41"/>
      <c r="S2467" s="41"/>
      <c r="U2467" s="440"/>
      <c r="V2467" s="440"/>
    </row>
    <row r="2468" spans="1:22" x14ac:dyDescent="0.2">
      <c r="A2468" s="123" t="str">
        <f t="shared" ref="A2468:K2468" si="855">A11</f>
        <v>Совет депутатов муниципального образования "Закаменский район"</v>
      </c>
      <c r="B2468" s="341" t="str">
        <f t="shared" si="855"/>
        <v>921</v>
      </c>
      <c r="C2468" s="360">
        <f t="shared" si="855"/>
        <v>0</v>
      </c>
      <c r="D2468" s="360">
        <f t="shared" si="855"/>
        <v>0</v>
      </c>
      <c r="E2468" s="385">
        <f t="shared" si="855"/>
        <v>0</v>
      </c>
      <c r="F2468" s="385">
        <f t="shared" si="855"/>
        <v>0</v>
      </c>
      <c r="G2468" s="487">
        <f t="shared" si="855"/>
        <v>4157.48488</v>
      </c>
      <c r="H2468" s="487">
        <f t="shared" si="855"/>
        <v>0</v>
      </c>
      <c r="I2468" s="487">
        <f t="shared" si="855"/>
        <v>5586.7678800000003</v>
      </c>
      <c r="J2468" s="487">
        <f t="shared" si="855"/>
        <v>74.400000000000006</v>
      </c>
      <c r="K2468" s="147">
        <f t="shared" si="855"/>
        <v>1429.2830000000004</v>
      </c>
      <c r="L2468" s="147"/>
      <c r="N2468" s="147">
        <f>N11</f>
        <v>2872.16</v>
      </c>
      <c r="R2468" s="610">
        <f>R11</f>
        <v>3858.2075799999998</v>
      </c>
      <c r="S2468" s="147">
        <f>S11</f>
        <v>0</v>
      </c>
      <c r="U2468" s="487">
        <f>U11</f>
        <v>3631.10023</v>
      </c>
      <c r="V2468" s="487">
        <f>V11</f>
        <v>0</v>
      </c>
    </row>
    <row r="2469" spans="1:22" ht="25.5" x14ac:dyDescent="0.2">
      <c r="A2469" s="123" t="str">
        <f t="shared" ref="A2469:K2469" si="856">A72</f>
        <v>Муниципальное казенное учреждение "Управление сельского хозяйства" муниципального образования "Закаменский район"</v>
      </c>
      <c r="B2469" s="342" t="str">
        <f t="shared" si="856"/>
        <v>922</v>
      </c>
      <c r="C2469" s="361">
        <f t="shared" si="856"/>
        <v>0</v>
      </c>
      <c r="D2469" s="361">
        <f t="shared" si="856"/>
        <v>0</v>
      </c>
      <c r="E2469" s="385">
        <f t="shared" si="856"/>
        <v>0</v>
      </c>
      <c r="F2469" s="385">
        <f t="shared" si="856"/>
        <v>0</v>
      </c>
      <c r="G2469" s="487">
        <f t="shared" si="856"/>
        <v>10166.350989999999</v>
      </c>
      <c r="H2469" s="487">
        <f t="shared" si="856"/>
        <v>0</v>
      </c>
      <c r="I2469" s="487">
        <f t="shared" si="856"/>
        <v>11620.68633</v>
      </c>
      <c r="J2469" s="487">
        <f t="shared" si="856"/>
        <v>68.740399999999994</v>
      </c>
      <c r="K2469" s="147">
        <f t="shared" si="856"/>
        <v>1454.3353400000001</v>
      </c>
      <c r="L2469" s="147"/>
      <c r="N2469" s="147"/>
      <c r="R2469" s="610" t="e">
        <f>R72</f>
        <v>#REF!</v>
      </c>
      <c r="S2469" s="147" t="e">
        <f>S72</f>
        <v>#REF!</v>
      </c>
      <c r="U2469" s="487" t="e">
        <f>U72</f>
        <v>#REF!</v>
      </c>
      <c r="V2469" s="487" t="e">
        <f>V72</f>
        <v>#REF!</v>
      </c>
    </row>
    <row r="2470" spans="1:22" ht="25.5" x14ac:dyDescent="0.2">
      <c r="A2470" s="123" t="str">
        <f t="shared" ref="A2470:K2470" si="857">A283</f>
        <v>Муниципальное казенное учреждение "Комитет по экономическому развитию" муниципального образования "Закаменский район"</v>
      </c>
      <c r="B2470" s="341" t="str">
        <f t="shared" si="857"/>
        <v>939</v>
      </c>
      <c r="C2470" s="360">
        <f t="shared" si="857"/>
        <v>0</v>
      </c>
      <c r="D2470" s="360">
        <f t="shared" si="857"/>
        <v>0</v>
      </c>
      <c r="E2470" s="385">
        <f t="shared" si="857"/>
        <v>0</v>
      </c>
      <c r="F2470" s="385">
        <f t="shared" si="857"/>
        <v>0</v>
      </c>
      <c r="G2470" s="487">
        <f t="shared" si="857"/>
        <v>10135.496319999998</v>
      </c>
      <c r="H2470" s="487">
        <f t="shared" si="857"/>
        <v>158.97552999999999</v>
      </c>
      <c r="I2470" s="487">
        <f t="shared" si="857"/>
        <v>12809.21041</v>
      </c>
      <c r="J2470" s="487">
        <f t="shared" si="857"/>
        <v>368.97552999999999</v>
      </c>
      <c r="K2470" s="147">
        <f t="shared" si="857"/>
        <v>2673.7140900000013</v>
      </c>
      <c r="L2470" s="147"/>
      <c r="N2470" s="147" t="e">
        <f>N283</f>
        <v>#REF!</v>
      </c>
      <c r="R2470" s="610">
        <f>R283</f>
        <v>9752.8686999999991</v>
      </c>
      <c r="S2470" s="147">
        <f>S283</f>
        <v>2120.6764400000002</v>
      </c>
      <c r="U2470" s="487">
        <f>U283</f>
        <v>27028.125370000002</v>
      </c>
      <c r="V2470" s="487">
        <f>V283</f>
        <v>20083.091489999999</v>
      </c>
    </row>
    <row r="2471" spans="1:22" ht="25.5" x14ac:dyDescent="0.2">
      <c r="A2471" s="123" t="str">
        <f t="shared" ref="A2471:K2471" si="858">A224</f>
        <v>Муниципальное казенное учреждение "Административно-хозяйственный отдел администрации муниципального образования "Закаменский район""</v>
      </c>
      <c r="B2471" s="341" t="str">
        <f t="shared" si="858"/>
        <v>931</v>
      </c>
      <c r="C2471" s="360">
        <f t="shared" si="858"/>
        <v>0</v>
      </c>
      <c r="D2471" s="360">
        <f t="shared" si="858"/>
        <v>0</v>
      </c>
      <c r="E2471" s="385">
        <f t="shared" si="858"/>
        <v>0</v>
      </c>
      <c r="F2471" s="385">
        <f t="shared" si="858"/>
        <v>0</v>
      </c>
      <c r="G2471" s="487">
        <f t="shared" si="858"/>
        <v>39493.47595</v>
      </c>
      <c r="H2471" s="487">
        <f t="shared" si="858"/>
        <v>0</v>
      </c>
      <c r="I2471" s="487">
        <f t="shared" si="858"/>
        <v>48044.812890000008</v>
      </c>
      <c r="J2471" s="487">
        <f t="shared" si="858"/>
        <v>267.5</v>
      </c>
      <c r="K2471" s="147">
        <f t="shared" si="858"/>
        <v>8551.3369400000083</v>
      </c>
      <c r="L2471" s="147"/>
      <c r="N2471" s="147" t="e">
        <f>N224</f>
        <v>#REF!</v>
      </c>
      <c r="R2471" s="610">
        <f>R224</f>
        <v>36600.76859</v>
      </c>
      <c r="S2471" s="147">
        <f>S224</f>
        <v>0</v>
      </c>
      <c r="U2471" s="487">
        <f>U224</f>
        <v>32092.202190000004</v>
      </c>
      <c r="V2471" s="487">
        <f>V224</f>
        <v>0</v>
      </c>
    </row>
    <row r="2472" spans="1:22" x14ac:dyDescent="0.2">
      <c r="A2472" s="123" t="str">
        <f t="shared" ref="A2472:K2472" si="859">A526</f>
        <v>Муниципальное казенное учреждение "Отдел культуры муниципального образования "Закаменский район"</v>
      </c>
      <c r="B2472" s="341" t="str">
        <f t="shared" si="859"/>
        <v>957</v>
      </c>
      <c r="C2472" s="360">
        <f t="shared" si="859"/>
        <v>0</v>
      </c>
      <c r="D2472" s="360">
        <f t="shared" si="859"/>
        <v>0</v>
      </c>
      <c r="E2472" s="385">
        <f t="shared" si="859"/>
        <v>0</v>
      </c>
      <c r="F2472" s="385">
        <f t="shared" si="859"/>
        <v>0</v>
      </c>
      <c r="G2472" s="487">
        <f t="shared" si="859"/>
        <v>92130.480219999998</v>
      </c>
      <c r="H2472" s="487">
        <f t="shared" si="859"/>
        <v>1239.0030099999999</v>
      </c>
      <c r="I2472" s="487">
        <f t="shared" si="859"/>
        <v>115812.54358999999</v>
      </c>
      <c r="J2472" s="487">
        <f t="shared" si="859"/>
        <v>1304.0030099999999</v>
      </c>
      <c r="K2472" s="147">
        <f t="shared" si="859"/>
        <v>23682.063369999989</v>
      </c>
      <c r="L2472" s="147"/>
      <c r="N2472" s="147" t="e">
        <f>N526</f>
        <v>#REF!</v>
      </c>
      <c r="R2472" s="610">
        <f>R526</f>
        <v>101206.61813999999</v>
      </c>
      <c r="S2472" s="147">
        <f>S526</f>
        <v>15004.312540000001</v>
      </c>
      <c r="U2472" s="487">
        <f>U526</f>
        <v>191082.47682000001</v>
      </c>
      <c r="V2472" s="487">
        <f>V526</f>
        <v>103003.39866000001</v>
      </c>
    </row>
    <row r="2473" spans="1:22" x14ac:dyDescent="0.2">
      <c r="A2473" s="123" t="str">
        <f t="shared" ref="A2473:K2473" si="860">A803</f>
        <v>Муниципальное казенное учреждение "Закаменское районное управление образования"</v>
      </c>
      <c r="B2473" s="341" t="str">
        <f t="shared" si="860"/>
        <v>958</v>
      </c>
      <c r="C2473" s="360">
        <f t="shared" si="860"/>
        <v>0</v>
      </c>
      <c r="D2473" s="360">
        <f t="shared" si="860"/>
        <v>0</v>
      </c>
      <c r="E2473" s="385">
        <f t="shared" si="860"/>
        <v>0</v>
      </c>
      <c r="F2473" s="385">
        <f t="shared" si="860"/>
        <v>0</v>
      </c>
      <c r="G2473" s="487">
        <f t="shared" si="860"/>
        <v>1041770.9879999999</v>
      </c>
      <c r="H2473" s="487">
        <f t="shared" si="860"/>
        <v>128057.68699999999</v>
      </c>
      <c r="I2473" s="487">
        <f t="shared" si="860"/>
        <v>1150938.48838</v>
      </c>
      <c r="J2473" s="487">
        <f t="shared" si="860"/>
        <v>150813.587</v>
      </c>
      <c r="K2473" s="147">
        <f t="shared" si="860"/>
        <v>109167.5003800001</v>
      </c>
      <c r="L2473" s="147"/>
      <c r="N2473" s="147" t="e">
        <f>N803</f>
        <v>#REF!</v>
      </c>
      <c r="R2473" s="610" t="e">
        <f>R803</f>
        <v>#REF!</v>
      </c>
      <c r="S2473" s="147" t="e">
        <f>S803</f>
        <v>#REF!</v>
      </c>
      <c r="U2473" s="487" t="e">
        <f>U803</f>
        <v>#REF!</v>
      </c>
      <c r="V2473" s="487" t="e">
        <f>V803</f>
        <v>#REF!</v>
      </c>
    </row>
    <row r="2474" spans="1:22" x14ac:dyDescent="0.2">
      <c r="A2474" s="123" t="str">
        <f t="shared" ref="A2474:K2474" si="861">A1231</f>
        <v>Администрация муниципального образования "Закаменский район"</v>
      </c>
      <c r="B2474" s="341" t="str">
        <f t="shared" si="861"/>
        <v>959</v>
      </c>
      <c r="C2474" s="360">
        <f t="shared" si="861"/>
        <v>0</v>
      </c>
      <c r="D2474" s="360">
        <f t="shared" si="861"/>
        <v>0</v>
      </c>
      <c r="E2474" s="385">
        <f t="shared" si="861"/>
        <v>0</v>
      </c>
      <c r="F2474" s="385">
        <f t="shared" si="861"/>
        <v>0</v>
      </c>
      <c r="G2474" s="487">
        <f t="shared" si="861"/>
        <v>215355.29831000001</v>
      </c>
      <c r="H2474" s="487">
        <f t="shared" si="861"/>
        <v>108755.39586999999</v>
      </c>
      <c r="I2474" s="487">
        <f t="shared" si="861"/>
        <v>233589.07362000001</v>
      </c>
      <c r="J2474" s="487">
        <f t="shared" si="861"/>
        <v>109336.99587</v>
      </c>
      <c r="K2474" s="147">
        <f t="shared" si="861"/>
        <v>18233.775309999997</v>
      </c>
      <c r="L2474" s="147"/>
      <c r="N2474" s="147" t="e">
        <f>N1231</f>
        <v>#REF!</v>
      </c>
      <c r="R2474" s="610" t="e">
        <f>R1231</f>
        <v>#REF!</v>
      </c>
      <c r="S2474" s="147" t="e">
        <f>S1231</f>
        <v>#REF!</v>
      </c>
      <c r="U2474" s="487">
        <f>U1231</f>
        <v>158968.55494</v>
      </c>
      <c r="V2474" s="487">
        <f>V1231</f>
        <v>17495.762460000002</v>
      </c>
    </row>
    <row r="2475" spans="1:22" x14ac:dyDescent="0.2">
      <c r="A2475" s="123" t="str">
        <f t="shared" ref="A2475:K2475" si="862">A1669</f>
        <v>Закаменское районное финансовое управление</v>
      </c>
      <c r="B2475" s="341" t="str">
        <f t="shared" si="862"/>
        <v>960</v>
      </c>
      <c r="C2475" s="360">
        <f t="shared" si="862"/>
        <v>0</v>
      </c>
      <c r="D2475" s="360">
        <f t="shared" si="862"/>
        <v>0</v>
      </c>
      <c r="E2475" s="385">
        <f t="shared" si="862"/>
        <v>0</v>
      </c>
      <c r="F2475" s="385">
        <f t="shared" si="862"/>
        <v>0</v>
      </c>
      <c r="G2475" s="487">
        <f t="shared" si="862"/>
        <v>78183.434209999992</v>
      </c>
      <c r="H2475" s="487">
        <f t="shared" si="862"/>
        <v>0</v>
      </c>
      <c r="I2475" s="487">
        <f t="shared" si="862"/>
        <v>89670.81243999998</v>
      </c>
      <c r="J2475" s="487">
        <f t="shared" si="862"/>
        <v>490</v>
      </c>
      <c r="K2475" s="147">
        <f t="shared" si="862"/>
        <v>11487.378229999988</v>
      </c>
      <c r="L2475" s="147"/>
      <c r="N2475" s="147">
        <f>N1669</f>
        <v>56274.328999999998</v>
      </c>
      <c r="R2475" s="610">
        <f>R1669</f>
        <v>64043.564050000008</v>
      </c>
      <c r="S2475" s="147">
        <f>S1669</f>
        <v>0</v>
      </c>
      <c r="U2475" s="487">
        <f>U1669</f>
        <v>57298.567999999999</v>
      </c>
      <c r="V2475" s="487">
        <f>V1669</f>
        <v>0</v>
      </c>
    </row>
    <row r="2476" spans="1:22" ht="25.5" x14ac:dyDescent="0.2">
      <c r="A2476" s="123" t="str">
        <f t="shared" ref="A2476:K2476" si="863">A1767</f>
        <v>Муниципальное казенное учреждение "Управление по развитию инфраструктуры" муниципального образования "Закаменский район"</v>
      </c>
      <c r="B2476" s="341" t="str">
        <f t="shared" si="863"/>
        <v>961</v>
      </c>
      <c r="C2476" s="360">
        <f t="shared" si="863"/>
        <v>0</v>
      </c>
      <c r="D2476" s="360">
        <f t="shared" si="863"/>
        <v>0</v>
      </c>
      <c r="E2476" s="385">
        <f t="shared" si="863"/>
        <v>0</v>
      </c>
      <c r="F2476" s="385">
        <f t="shared" si="863"/>
        <v>0</v>
      </c>
      <c r="G2476" s="487">
        <f t="shared" si="863"/>
        <v>417425.80793000001</v>
      </c>
      <c r="H2476" s="487">
        <f t="shared" si="863"/>
        <v>313505.8909</v>
      </c>
      <c r="I2476" s="487">
        <f t="shared" si="863"/>
        <v>518277.12647999998</v>
      </c>
      <c r="J2476" s="487">
        <f t="shared" si="863"/>
        <v>313587.8909</v>
      </c>
      <c r="K2476" s="147">
        <f t="shared" si="863"/>
        <v>100851.31854999997</v>
      </c>
      <c r="L2476" s="147"/>
      <c r="N2476" s="147" t="e">
        <f>N1767</f>
        <v>#REF!</v>
      </c>
      <c r="R2476" s="610">
        <f>R1767</f>
        <v>233782.62015999999</v>
      </c>
      <c r="S2476" s="147">
        <f>S1767</f>
        <v>149651.97211999999</v>
      </c>
      <c r="U2476" s="487" t="e">
        <f>U1767</f>
        <v>#REF!</v>
      </c>
      <c r="V2476" s="487" t="e">
        <f>V1767</f>
        <v>#REF!</v>
      </c>
    </row>
    <row r="2477" spans="1:22" ht="25.5" x14ac:dyDescent="0.2">
      <c r="A2477" s="123" t="str">
        <f t="shared" ref="A2477:K2477" si="864">A2210</f>
        <v>Муниципальное казенное учреждение "Отдел по делам молодежи, физической культуры и спорта" Администрации муниципального образования "Закаменский район"</v>
      </c>
      <c r="B2477" s="342" t="str">
        <f t="shared" si="864"/>
        <v>979</v>
      </c>
      <c r="C2477" s="361">
        <f t="shared" si="864"/>
        <v>0</v>
      </c>
      <c r="D2477" s="361">
        <f t="shared" si="864"/>
        <v>0</v>
      </c>
      <c r="E2477" s="385">
        <f t="shared" si="864"/>
        <v>0</v>
      </c>
      <c r="F2477" s="385">
        <f t="shared" si="864"/>
        <v>0</v>
      </c>
      <c r="G2477" s="487">
        <f t="shared" si="864"/>
        <v>24529.950950000002</v>
      </c>
      <c r="H2477" s="487">
        <f t="shared" si="864"/>
        <v>739.95</v>
      </c>
      <c r="I2477" s="487">
        <f t="shared" si="864"/>
        <v>33458.054889999999</v>
      </c>
      <c r="J2477" s="487">
        <f t="shared" si="864"/>
        <v>779.95</v>
      </c>
      <c r="K2477" s="147">
        <f t="shared" si="864"/>
        <v>8928.1039399999972</v>
      </c>
      <c r="L2477" s="147"/>
      <c r="N2477" s="147"/>
      <c r="R2477" s="147">
        <f>R2210</f>
        <v>23707.516779999998</v>
      </c>
      <c r="S2477" s="147">
        <f>S2210</f>
        <v>3080.8616000000002</v>
      </c>
      <c r="U2477" s="487" t="e">
        <f>U2210</f>
        <v>#REF!</v>
      </c>
      <c r="V2477" s="487" t="e">
        <f>V2210</f>
        <v>#REF!</v>
      </c>
    </row>
    <row r="2478" spans="1:22" x14ac:dyDescent="0.2">
      <c r="A2478" s="123"/>
      <c r="B2478" s="341"/>
      <c r="C2478" s="360"/>
      <c r="D2478" s="360"/>
      <c r="E2478" s="385"/>
      <c r="F2478" s="385"/>
      <c r="G2478" s="487"/>
      <c r="H2478" s="487"/>
      <c r="I2478" s="487"/>
      <c r="J2478" s="487"/>
      <c r="K2478" s="147" t="e">
        <f>#REF!</f>
        <v>#REF!</v>
      </c>
      <c r="L2478" s="147"/>
      <c r="N2478" s="147" t="e">
        <f>#REF!</f>
        <v>#REF!</v>
      </c>
      <c r="R2478" s="147"/>
      <c r="S2478" s="147"/>
      <c r="U2478" s="487"/>
      <c r="V2478" s="487"/>
    </row>
    <row r="2479" spans="1:22" x14ac:dyDescent="0.2">
      <c r="A2479" s="293" t="s">
        <v>467</v>
      </c>
      <c r="B2479" s="343"/>
      <c r="C2479" s="362"/>
      <c r="D2479" s="362"/>
      <c r="E2479" s="384"/>
      <c r="F2479" s="384"/>
      <c r="G2479" s="483">
        <f t="shared" ref="G2479:L2479" si="865">SUM(G2467:G2478)</f>
        <v>1933348.7677600002</v>
      </c>
      <c r="H2479" s="483">
        <f t="shared" si="865"/>
        <v>552456.90230999992</v>
      </c>
      <c r="I2479" s="483">
        <f>SUM(I2467:I2478)</f>
        <v>2219807.5769099998</v>
      </c>
      <c r="J2479" s="483">
        <f>SUM(J2467:J2478)</f>
        <v>577092.04270999995</v>
      </c>
      <c r="K2479" s="295" t="e">
        <f t="shared" si="865"/>
        <v>#REF!</v>
      </c>
      <c r="L2479" s="295">
        <f t="shared" si="865"/>
        <v>0</v>
      </c>
      <c r="N2479" s="295" t="e">
        <f>SUM(N2467:N2478)</f>
        <v>#REF!</v>
      </c>
      <c r="R2479" s="295" t="e">
        <f>SUM(R2467:R2478)</f>
        <v>#REF!</v>
      </c>
      <c r="S2479" s="295" t="e">
        <f>SUM(S2467:S2478)</f>
        <v>#REF!</v>
      </c>
      <c r="U2479" s="483" t="e">
        <f>SUM(U2467:U2478)</f>
        <v>#REF!</v>
      </c>
      <c r="V2479" s="483" t="e">
        <f>SUM(V2467:V2478)</f>
        <v>#REF!</v>
      </c>
    </row>
    <row r="2480" spans="1:22" x14ac:dyDescent="0.2">
      <c r="A2480" s="123"/>
      <c r="B2480" s="333"/>
      <c r="C2480" s="345"/>
      <c r="D2480" s="345"/>
      <c r="E2480" s="372"/>
      <c r="F2480" s="372"/>
      <c r="G2480" s="440">
        <f t="shared" ref="G2480:L2480" si="866">G2479-G2463</f>
        <v>0</v>
      </c>
      <c r="H2480" s="440">
        <f t="shared" si="866"/>
        <v>0</v>
      </c>
      <c r="I2480" s="440">
        <f>I2479-I2463</f>
        <v>0</v>
      </c>
      <c r="J2480" s="440">
        <f>J2479-J2463</f>
        <v>0</v>
      </c>
      <c r="K2480" s="41" t="e">
        <f t="shared" si="866"/>
        <v>#REF!</v>
      </c>
      <c r="L2480" s="41">
        <f t="shared" si="866"/>
        <v>-24635.140400000008</v>
      </c>
      <c r="N2480" s="41"/>
      <c r="R2480" s="41" t="e">
        <f>R2479-R2463</f>
        <v>#REF!</v>
      </c>
      <c r="S2480" s="41" t="e">
        <f>S2479-S2463</f>
        <v>#REF!</v>
      </c>
      <c r="U2480" s="440" t="e">
        <f>U2479-U2463</f>
        <v>#REF!</v>
      </c>
      <c r="V2480" s="440" t="e">
        <f>V2479-V2463</f>
        <v>#REF!</v>
      </c>
    </row>
    <row r="2481" spans="1:22" x14ac:dyDescent="0.2">
      <c r="A2481" s="123"/>
      <c r="B2481" s="333"/>
      <c r="C2481" s="345"/>
      <c r="D2481" s="345"/>
      <c r="E2481" s="372"/>
      <c r="F2481" s="372"/>
      <c r="G2481" s="440"/>
      <c r="H2481" s="440"/>
      <c r="I2481" s="440"/>
      <c r="J2481" s="440"/>
      <c r="K2481" s="41"/>
      <c r="L2481" s="41"/>
      <c r="N2481" s="41"/>
      <c r="R2481" s="41"/>
      <c r="S2481" s="41"/>
      <c r="U2481" s="440"/>
      <c r="V2481" s="440"/>
    </row>
    <row r="2482" spans="1:22" x14ac:dyDescent="0.2">
      <c r="A2482" s="123"/>
      <c r="B2482" s="333"/>
      <c r="C2482" s="345"/>
      <c r="D2482" s="345"/>
      <c r="E2482" s="372"/>
      <c r="F2482" s="372"/>
      <c r="G2482" s="440"/>
      <c r="H2482" s="440"/>
      <c r="I2482" s="440"/>
      <c r="J2482" s="440"/>
      <c r="K2482" s="41"/>
      <c r="L2482" s="41"/>
      <c r="N2482" s="41"/>
      <c r="R2482" s="41"/>
      <c r="S2482" s="41"/>
      <c r="U2482" s="440"/>
      <c r="V2482" s="440"/>
    </row>
    <row r="2483" spans="1:22" x14ac:dyDescent="0.2">
      <c r="A2483" s="123"/>
      <c r="B2483" s="333"/>
      <c r="C2483" s="345"/>
      <c r="D2483" s="345"/>
      <c r="E2483" s="372"/>
      <c r="F2483" s="372"/>
      <c r="G2483" s="440">
        <f t="shared" ref="G2483:L2483" si="867">SUBTOTAL(9,G125:G2482)</f>
        <v>29078577.61056998</v>
      </c>
      <c r="H2483" s="440">
        <f t="shared" si="867"/>
        <v>8221931.2711700015</v>
      </c>
      <c r="I2483" s="440">
        <f t="shared" si="867"/>
        <v>35505812.225269996</v>
      </c>
      <c r="J2483" s="440">
        <f t="shared" si="867"/>
        <v>8084970.7300600009</v>
      </c>
      <c r="K2483" s="41" t="e">
        <f t="shared" si="867"/>
        <v>#REF!</v>
      </c>
      <c r="L2483" s="41" t="e">
        <f t="shared" si="867"/>
        <v>#REF!</v>
      </c>
      <c r="M2483" s="440"/>
      <c r="N2483" s="440" t="e">
        <f>SUBTOTAL(9,N125:N2482)</f>
        <v>#REF!</v>
      </c>
      <c r="O2483" s="440">
        <f>SUBTOTAL(9,O125:O2482)</f>
        <v>0</v>
      </c>
      <c r="P2483" s="440" t="e">
        <f>SUBTOTAL(9,P125:P2482)</f>
        <v>#REF!</v>
      </c>
      <c r="Q2483" s="440"/>
      <c r="R2483" s="41" t="e">
        <f>SUBTOTAL(9,R125:R2482)</f>
        <v>#REF!</v>
      </c>
      <c r="S2483" s="41" t="e">
        <f>SUBTOTAL(9,S125:S2482)</f>
        <v>#REF!</v>
      </c>
      <c r="U2483" s="440" t="e">
        <f>SUBTOTAL(9,U125:U2482)</f>
        <v>#REF!</v>
      </c>
      <c r="V2483" s="440" t="e">
        <f>SUBTOTAL(9,V125:V2482)</f>
        <v>#REF!</v>
      </c>
    </row>
    <row r="2484" spans="1:22" x14ac:dyDescent="0.2">
      <c r="A2484" s="123"/>
      <c r="B2484" s="333"/>
      <c r="C2484" s="345"/>
      <c r="D2484" s="345"/>
      <c r="E2484" s="372"/>
      <c r="F2484" s="372"/>
      <c r="G2484" s="440"/>
      <c r="H2484" s="440"/>
      <c r="I2484" s="440"/>
      <c r="J2484" s="440"/>
      <c r="K2484" s="41"/>
      <c r="L2484" s="41"/>
      <c r="N2484" s="41"/>
      <c r="P2484" s="216" t="e">
        <f>I2483-P2483</f>
        <v>#REF!</v>
      </c>
      <c r="Q2484" s="216"/>
      <c r="R2484" s="41"/>
      <c r="S2484" s="41"/>
      <c r="U2484" s="440"/>
      <c r="V2484" s="440"/>
    </row>
    <row r="2485" spans="1:22" x14ac:dyDescent="0.2">
      <c r="A2485" s="123"/>
      <c r="B2485" s="333"/>
      <c r="C2485" s="345"/>
      <c r="D2485" s="345"/>
      <c r="E2485" s="372"/>
      <c r="F2485" s="372"/>
      <c r="G2485" s="440"/>
      <c r="H2485" s="440">
        <f>H125+H218+H675+H719+H986+H1195</f>
        <v>0</v>
      </c>
      <c r="I2485" s="440"/>
      <c r="J2485" s="440">
        <f>J125+J218+J675+J719+J986+J1195</f>
        <v>0</v>
      </c>
      <c r="K2485" s="41"/>
      <c r="L2485" s="41"/>
      <c r="N2485" s="41"/>
      <c r="P2485" s="216" t="e">
        <f>K2483-P2484</f>
        <v>#REF!</v>
      </c>
      <c r="Q2485" s="216"/>
      <c r="R2485" s="41"/>
      <c r="S2485" s="41">
        <f>S125+S218+S675+S719+S986+S1195</f>
        <v>114767.8</v>
      </c>
      <c r="U2485" s="440"/>
      <c r="V2485" s="440">
        <f>V125+V218+V675+V719+V986+V1195</f>
        <v>117525.53210000001</v>
      </c>
    </row>
    <row r="2486" spans="1:22" x14ac:dyDescent="0.2">
      <c r="A2486" s="123"/>
      <c r="B2486" s="333"/>
      <c r="C2486" s="345"/>
      <c r="D2486" s="345"/>
      <c r="E2486" s="372"/>
      <c r="F2486" s="372"/>
      <c r="G2486" s="440"/>
      <c r="H2486" s="440">
        <f>H2041+H2043</f>
        <v>0</v>
      </c>
      <c r="I2486" s="440"/>
      <c r="J2486" s="440">
        <f>J2041+J2043</f>
        <v>0</v>
      </c>
      <c r="K2486" s="41"/>
      <c r="L2486" s="41"/>
      <c r="N2486" s="41"/>
      <c r="R2486" s="41"/>
      <c r="S2486" s="41">
        <f>S2041+S2043</f>
        <v>17588.196909999999</v>
      </c>
      <c r="U2486" s="440"/>
      <c r="V2486" s="440">
        <f>V2041+V2043</f>
        <v>214540.42853</v>
      </c>
    </row>
    <row r="2487" spans="1:22" x14ac:dyDescent="0.2">
      <c r="A2487" s="123"/>
      <c r="B2487" s="333"/>
      <c r="C2487" s="345"/>
      <c r="D2487" s="345"/>
      <c r="E2487" s="372"/>
      <c r="F2487" s="372"/>
      <c r="G2487" s="440"/>
      <c r="H2487" s="440"/>
      <c r="I2487" s="440"/>
      <c r="J2487" s="440"/>
      <c r="K2487" s="41"/>
      <c r="L2487" s="41"/>
      <c r="N2487" s="41"/>
      <c r="R2487" s="41"/>
      <c r="S2487" s="41"/>
      <c r="U2487" s="440"/>
      <c r="V2487" s="440"/>
    </row>
    <row r="2488" spans="1:22" x14ac:dyDescent="0.2">
      <c r="A2488" s="123"/>
      <c r="B2488" s="333"/>
      <c r="C2488" s="345"/>
      <c r="D2488" s="345"/>
      <c r="E2488" s="372"/>
      <c r="F2488" s="372"/>
      <c r="G2488" s="440"/>
      <c r="H2488" s="440"/>
      <c r="I2488" s="440"/>
      <c r="J2488" s="440"/>
      <c r="K2488" s="41"/>
      <c r="L2488" s="41"/>
      <c r="N2488" s="41"/>
      <c r="R2488" s="41"/>
      <c r="S2488" s="41"/>
      <c r="U2488" s="440"/>
      <c r="V2488" s="440"/>
    </row>
    <row r="2489" spans="1:22" x14ac:dyDescent="0.2">
      <c r="A2489" s="123"/>
      <c r="B2489" s="333"/>
      <c r="C2489" s="345"/>
      <c r="D2489" s="345"/>
      <c r="E2489" s="372"/>
      <c r="F2489" s="372"/>
      <c r="G2489" s="440"/>
      <c r="H2489" s="440"/>
      <c r="I2489" s="440"/>
      <c r="J2489" s="440"/>
      <c r="K2489" s="41"/>
      <c r="L2489" s="41"/>
      <c r="N2489" s="41"/>
      <c r="R2489" s="41"/>
      <c r="S2489" s="41"/>
      <c r="U2489" s="440"/>
      <c r="V2489" s="440"/>
    </row>
    <row r="2490" spans="1:22" x14ac:dyDescent="0.2">
      <c r="A2490" s="123"/>
      <c r="B2490" s="333"/>
      <c r="C2490" s="345"/>
      <c r="D2490" s="345"/>
      <c r="E2490" s="372"/>
      <c r="F2490" s="372"/>
      <c r="G2490" s="440"/>
      <c r="H2490" s="440"/>
      <c r="I2490" s="440"/>
      <c r="J2490" s="440"/>
      <c r="K2490" s="41"/>
      <c r="L2490" s="41"/>
      <c r="N2490" s="41"/>
      <c r="R2490" s="41"/>
      <c r="S2490" s="41"/>
      <c r="U2490" s="440"/>
      <c r="V2490" s="440"/>
    </row>
    <row r="2491" spans="1:22" x14ac:dyDescent="0.2">
      <c r="A2491" s="123"/>
      <c r="B2491" s="333"/>
      <c r="C2491" s="345"/>
      <c r="D2491" s="345"/>
      <c r="E2491" s="372"/>
      <c r="F2491" s="372"/>
      <c r="G2491" s="440"/>
      <c r="H2491" s="440"/>
      <c r="I2491" s="440"/>
      <c r="J2491" s="440"/>
      <c r="K2491" s="41"/>
      <c r="L2491" s="41"/>
      <c r="N2491" s="41"/>
      <c r="R2491" s="41"/>
      <c r="S2491" s="41"/>
      <c r="U2491" s="440"/>
      <c r="V2491" s="440"/>
    </row>
    <row r="2492" spans="1:22" x14ac:dyDescent="0.2">
      <c r="A2492" s="123"/>
      <c r="B2492" s="333"/>
      <c r="C2492" s="345"/>
      <c r="D2492" s="345"/>
      <c r="E2492" s="372"/>
      <c r="F2492" s="372"/>
      <c r="G2492" s="440"/>
      <c r="H2492" s="440"/>
      <c r="I2492" s="440"/>
      <c r="J2492" s="440"/>
      <c r="K2492" s="41"/>
      <c r="L2492" s="41"/>
      <c r="N2492" s="41"/>
      <c r="R2492" s="41"/>
      <c r="S2492" s="41"/>
      <c r="U2492" s="440"/>
      <c r="V2492" s="440"/>
    </row>
    <row r="2493" spans="1:22" x14ac:dyDescent="0.2">
      <c r="A2493" s="123"/>
      <c r="B2493" s="333"/>
      <c r="C2493" s="345"/>
      <c r="D2493" s="345"/>
      <c r="E2493" s="372"/>
      <c r="F2493" s="372"/>
      <c r="G2493" s="440"/>
      <c r="H2493" s="440"/>
      <c r="I2493" s="440"/>
      <c r="J2493" s="440"/>
      <c r="K2493" s="41"/>
      <c r="L2493" s="41"/>
      <c r="N2493" s="41"/>
      <c r="R2493" s="41"/>
      <c r="S2493" s="41"/>
      <c r="U2493" s="440"/>
      <c r="V2493" s="440"/>
    </row>
    <row r="2494" spans="1:22" x14ac:dyDescent="0.2">
      <c r="A2494" s="123"/>
      <c r="B2494" s="333"/>
      <c r="C2494" s="345"/>
      <c r="D2494" s="345"/>
      <c r="E2494" s="372"/>
      <c r="F2494" s="372"/>
      <c r="G2494" s="440"/>
      <c r="H2494" s="440"/>
      <c r="I2494" s="440"/>
      <c r="J2494" s="440"/>
      <c r="K2494" s="41"/>
      <c r="L2494" s="41"/>
      <c r="N2494" s="41"/>
      <c r="R2494" s="41"/>
      <c r="S2494" s="41"/>
      <c r="U2494" s="440"/>
      <c r="V2494" s="440"/>
    </row>
    <row r="2495" spans="1:22" x14ac:dyDescent="0.2">
      <c r="A2495" s="123"/>
      <c r="B2495" s="333"/>
      <c r="C2495" s="345"/>
      <c r="D2495" s="345"/>
      <c r="E2495" s="372"/>
      <c r="F2495" s="372"/>
      <c r="G2495" s="440"/>
      <c r="H2495" s="440"/>
      <c r="I2495" s="440"/>
      <c r="J2495" s="440"/>
      <c r="K2495" s="41"/>
      <c r="L2495" s="41"/>
      <c r="N2495" s="41"/>
      <c r="R2495" s="41"/>
      <c r="S2495" s="41"/>
      <c r="U2495" s="440"/>
      <c r="V2495" s="440"/>
    </row>
    <row r="2496" spans="1:22" x14ac:dyDescent="0.2">
      <c r="A2496" s="123"/>
      <c r="B2496" s="333"/>
      <c r="C2496" s="345"/>
      <c r="D2496" s="345"/>
      <c r="E2496" s="372"/>
      <c r="F2496" s="372"/>
      <c r="G2496" s="440"/>
      <c r="H2496" s="440"/>
      <c r="I2496" s="440"/>
      <c r="J2496" s="440"/>
      <c r="K2496" s="41"/>
      <c r="L2496" s="41"/>
      <c r="N2496" s="41"/>
      <c r="R2496" s="41"/>
      <c r="S2496" s="41"/>
      <c r="U2496" s="440"/>
      <c r="V2496" s="440"/>
    </row>
    <row r="2497" spans="1:22" x14ac:dyDescent="0.2">
      <c r="A2497" s="123"/>
      <c r="B2497" s="333"/>
      <c r="C2497" s="345"/>
      <c r="D2497" s="345"/>
      <c r="E2497" s="372"/>
      <c r="F2497" s="372"/>
      <c r="G2497" s="440"/>
      <c r="H2497" s="440"/>
      <c r="I2497" s="440"/>
      <c r="J2497" s="440"/>
      <c r="K2497" s="41"/>
      <c r="L2497" s="41"/>
      <c r="N2497" s="41"/>
      <c r="R2497" s="41"/>
      <c r="S2497" s="41"/>
      <c r="U2497" s="440"/>
      <c r="V2497" s="440"/>
    </row>
    <row r="2498" spans="1:22" x14ac:dyDescent="0.2">
      <c r="A2498" s="123"/>
      <c r="B2498" s="333"/>
      <c r="C2498" s="345"/>
      <c r="D2498" s="345"/>
      <c r="E2498" s="372"/>
      <c r="F2498" s="372"/>
      <c r="G2498" s="440"/>
      <c r="H2498" s="440"/>
      <c r="I2498" s="440"/>
      <c r="J2498" s="440"/>
      <c r="K2498" s="41"/>
      <c r="L2498" s="41"/>
      <c r="N2498" s="41"/>
      <c r="R2498" s="41"/>
      <c r="S2498" s="41"/>
      <c r="U2498" s="440"/>
      <c r="V2498" s="440"/>
    </row>
    <row r="2499" spans="1:22" x14ac:dyDescent="0.2">
      <c r="A2499" s="123"/>
      <c r="B2499" s="333"/>
      <c r="C2499" s="345"/>
      <c r="D2499" s="345"/>
      <c r="E2499" s="372"/>
      <c r="F2499" s="372"/>
      <c r="G2499" s="440"/>
      <c r="H2499" s="440"/>
      <c r="I2499" s="440"/>
      <c r="J2499" s="440"/>
      <c r="K2499" s="41"/>
      <c r="L2499" s="41"/>
      <c r="N2499" s="41"/>
      <c r="R2499" s="41"/>
      <c r="S2499" s="41"/>
      <c r="U2499" s="440"/>
      <c r="V2499" s="440"/>
    </row>
    <row r="2500" spans="1:22" x14ac:dyDescent="0.2">
      <c r="A2500" s="123"/>
      <c r="B2500" s="333"/>
      <c r="C2500" s="345"/>
      <c r="D2500" s="345"/>
      <c r="E2500" s="372"/>
      <c r="F2500" s="372"/>
      <c r="G2500" s="440"/>
      <c r="H2500" s="440"/>
      <c r="I2500" s="440"/>
      <c r="J2500" s="440"/>
      <c r="K2500" s="41"/>
      <c r="L2500" s="41"/>
      <c r="N2500" s="41"/>
      <c r="R2500" s="41"/>
      <c r="S2500" s="41"/>
      <c r="U2500" s="440"/>
      <c r="V2500" s="440"/>
    </row>
    <row r="2501" spans="1:22" x14ac:dyDescent="0.2">
      <c r="A2501" s="123"/>
      <c r="B2501" s="333"/>
      <c r="C2501" s="345"/>
      <c r="D2501" s="345"/>
      <c r="E2501" s="372"/>
      <c r="F2501" s="372"/>
      <c r="G2501" s="440"/>
      <c r="H2501" s="440"/>
      <c r="I2501" s="440"/>
      <c r="J2501" s="440"/>
      <c r="K2501" s="41"/>
      <c r="L2501" s="41"/>
      <c r="N2501" s="41"/>
      <c r="R2501" s="41"/>
      <c r="S2501" s="41"/>
      <c r="U2501" s="440"/>
      <c r="V2501" s="440"/>
    </row>
    <row r="2502" spans="1:22" x14ac:dyDescent="0.2">
      <c r="A2502" s="123"/>
      <c r="B2502" s="333"/>
      <c r="C2502" s="345"/>
      <c r="D2502" s="345"/>
      <c r="E2502" s="372"/>
      <c r="F2502" s="372"/>
      <c r="G2502" s="440"/>
      <c r="H2502" s="440"/>
      <c r="I2502" s="440"/>
      <c r="J2502" s="440"/>
      <c r="K2502" s="41"/>
      <c r="L2502" s="41"/>
      <c r="N2502" s="41"/>
      <c r="R2502" s="41"/>
      <c r="S2502" s="41"/>
      <c r="U2502" s="440"/>
      <c r="V2502" s="440"/>
    </row>
    <row r="2503" spans="1:22" x14ac:dyDescent="0.2">
      <c r="A2503" s="123"/>
      <c r="B2503" s="333"/>
      <c r="C2503" s="345"/>
      <c r="D2503" s="345"/>
      <c r="E2503" s="372"/>
      <c r="F2503" s="372"/>
      <c r="G2503" s="440"/>
      <c r="H2503" s="440"/>
      <c r="I2503" s="440"/>
      <c r="J2503" s="440"/>
      <c r="K2503" s="41"/>
      <c r="L2503" s="41"/>
      <c r="N2503" s="41"/>
      <c r="R2503" s="41"/>
      <c r="S2503" s="41"/>
      <c r="U2503" s="440"/>
      <c r="V2503" s="440"/>
    </row>
    <row r="2504" spans="1:22" x14ac:dyDescent="0.2">
      <c r="A2504" s="123"/>
      <c r="B2504" s="333"/>
      <c r="C2504" s="345"/>
      <c r="D2504" s="345"/>
      <c r="E2504" s="372"/>
      <c r="F2504" s="372"/>
      <c r="G2504" s="440"/>
      <c r="H2504" s="440"/>
      <c r="I2504" s="440"/>
      <c r="J2504" s="440"/>
      <c r="K2504" s="41"/>
      <c r="L2504" s="41"/>
      <c r="N2504" s="41"/>
      <c r="R2504" s="41"/>
      <c r="S2504" s="41"/>
      <c r="U2504" s="440"/>
      <c r="V2504" s="440"/>
    </row>
    <row r="2505" spans="1:22" x14ac:dyDescent="0.2">
      <c r="A2505" s="123"/>
      <c r="B2505" s="333"/>
      <c r="C2505" s="345"/>
      <c r="D2505" s="345"/>
      <c r="E2505" s="372"/>
      <c r="F2505" s="372"/>
      <c r="G2505" s="440"/>
      <c r="H2505" s="440"/>
      <c r="I2505" s="440"/>
      <c r="J2505" s="440"/>
      <c r="K2505" s="41"/>
      <c r="L2505" s="41"/>
      <c r="N2505" s="41"/>
      <c r="R2505" s="41"/>
      <c r="S2505" s="41"/>
      <c r="U2505" s="440"/>
      <c r="V2505" s="440"/>
    </row>
    <row r="2506" spans="1:22" x14ac:dyDescent="0.2">
      <c r="A2506" s="123"/>
      <c r="B2506" s="333"/>
      <c r="C2506" s="345"/>
      <c r="D2506" s="345"/>
      <c r="E2506" s="372"/>
      <c r="F2506" s="372"/>
      <c r="G2506" s="440"/>
      <c r="H2506" s="440"/>
      <c r="I2506" s="440"/>
      <c r="J2506" s="440"/>
      <c r="K2506" s="41"/>
      <c r="L2506" s="41"/>
      <c r="N2506" s="41"/>
      <c r="R2506" s="41"/>
      <c r="S2506" s="41"/>
      <c r="U2506" s="440"/>
      <c r="V2506" s="440"/>
    </row>
    <row r="2507" spans="1:22" x14ac:dyDescent="0.2">
      <c r="A2507" s="123"/>
      <c r="B2507" s="333"/>
      <c r="C2507" s="345"/>
      <c r="D2507" s="345"/>
      <c r="E2507" s="372"/>
      <c r="F2507" s="372"/>
      <c r="G2507" s="440"/>
      <c r="H2507" s="440"/>
      <c r="I2507" s="440"/>
      <c r="J2507" s="440"/>
      <c r="K2507" s="41"/>
      <c r="L2507" s="41"/>
      <c r="N2507" s="41"/>
      <c r="R2507" s="41"/>
      <c r="S2507" s="41"/>
      <c r="U2507" s="440"/>
      <c r="V2507" s="440"/>
    </row>
    <row r="2508" spans="1:22" x14ac:dyDescent="0.2">
      <c r="A2508" s="123"/>
      <c r="B2508" s="333"/>
      <c r="C2508" s="345"/>
      <c r="D2508" s="345"/>
      <c r="E2508" s="372"/>
      <c r="F2508" s="372"/>
      <c r="G2508" s="440"/>
      <c r="H2508" s="440"/>
      <c r="I2508" s="440"/>
      <c r="J2508" s="440"/>
      <c r="K2508" s="41"/>
      <c r="L2508" s="41"/>
      <c r="N2508" s="41"/>
      <c r="R2508" s="41"/>
      <c r="S2508" s="41"/>
      <c r="U2508" s="440"/>
      <c r="V2508" s="440"/>
    </row>
    <row r="2509" spans="1:22" x14ac:dyDescent="0.2">
      <c r="A2509" s="123"/>
      <c r="B2509" s="333"/>
      <c r="C2509" s="345"/>
      <c r="D2509" s="345"/>
      <c r="E2509" s="372"/>
      <c r="F2509" s="372"/>
      <c r="G2509" s="440"/>
      <c r="H2509" s="440"/>
      <c r="I2509" s="440"/>
      <c r="J2509" s="440"/>
      <c r="K2509" s="41"/>
      <c r="L2509" s="41"/>
      <c r="N2509" s="41"/>
      <c r="R2509" s="41"/>
      <c r="S2509" s="41"/>
      <c r="U2509" s="440"/>
      <c r="V2509" s="440"/>
    </row>
    <row r="2510" spans="1:22" x14ac:dyDescent="0.2">
      <c r="A2510" s="123"/>
      <c r="B2510" s="333"/>
      <c r="C2510" s="345"/>
      <c r="D2510" s="345"/>
      <c r="E2510" s="372"/>
      <c r="F2510" s="372"/>
      <c r="G2510" s="440"/>
      <c r="H2510" s="440"/>
      <c r="I2510" s="440"/>
      <c r="J2510" s="440"/>
      <c r="K2510" s="41"/>
      <c r="L2510" s="41"/>
      <c r="N2510" s="41"/>
      <c r="R2510" s="41"/>
      <c r="S2510" s="41"/>
      <c r="U2510" s="440"/>
      <c r="V2510" s="440"/>
    </row>
    <row r="2511" spans="1:22" x14ac:dyDescent="0.2">
      <c r="A2511" s="123"/>
      <c r="B2511" s="333"/>
      <c r="C2511" s="345"/>
      <c r="D2511" s="345"/>
      <c r="E2511" s="372"/>
      <c r="F2511" s="372"/>
      <c r="G2511" s="440"/>
      <c r="H2511" s="440"/>
      <c r="I2511" s="440"/>
      <c r="J2511" s="440"/>
      <c r="K2511" s="41"/>
      <c r="L2511" s="41"/>
      <c r="N2511" s="41"/>
      <c r="R2511" s="41"/>
      <c r="S2511" s="41"/>
      <c r="U2511" s="440"/>
      <c r="V2511" s="440"/>
    </row>
    <row r="2512" spans="1:22" x14ac:dyDescent="0.2">
      <c r="A2512" s="123"/>
      <c r="B2512" s="333"/>
      <c r="C2512" s="345"/>
      <c r="D2512" s="345"/>
      <c r="E2512" s="372"/>
      <c r="F2512" s="372"/>
      <c r="G2512" s="440"/>
      <c r="H2512" s="440"/>
      <c r="I2512" s="440"/>
      <c r="J2512" s="440"/>
      <c r="K2512" s="41"/>
      <c r="L2512" s="41"/>
      <c r="N2512" s="41"/>
      <c r="R2512" s="41"/>
      <c r="S2512" s="41"/>
      <c r="U2512" s="440"/>
      <c r="V2512" s="440"/>
    </row>
    <row r="2513" spans="1:22" x14ac:dyDescent="0.2">
      <c r="A2513" s="123"/>
      <c r="B2513" s="333"/>
      <c r="C2513" s="345"/>
      <c r="D2513" s="345"/>
      <c r="E2513" s="372"/>
      <c r="F2513" s="372"/>
      <c r="G2513" s="440"/>
      <c r="H2513" s="440"/>
      <c r="I2513" s="440"/>
      <c r="J2513" s="440"/>
      <c r="K2513" s="41"/>
      <c r="L2513" s="41"/>
      <c r="N2513" s="41"/>
      <c r="R2513" s="41"/>
      <c r="S2513" s="41"/>
      <c r="U2513" s="440"/>
      <c r="V2513" s="440"/>
    </row>
    <row r="2514" spans="1:22" x14ac:dyDescent="0.2">
      <c r="A2514" s="123"/>
      <c r="B2514" s="333"/>
      <c r="C2514" s="345"/>
      <c r="D2514" s="345"/>
      <c r="E2514" s="372"/>
      <c r="F2514" s="372"/>
      <c r="G2514" s="440"/>
      <c r="H2514" s="440"/>
      <c r="I2514" s="440"/>
      <c r="J2514" s="440"/>
      <c r="K2514" s="41"/>
      <c r="L2514" s="41"/>
      <c r="N2514" s="41"/>
      <c r="R2514" s="41"/>
      <c r="S2514" s="41"/>
      <c r="U2514" s="440"/>
      <c r="V2514" s="440"/>
    </row>
    <row r="2515" spans="1:22" x14ac:dyDescent="0.2">
      <c r="A2515" s="123"/>
      <c r="B2515" s="333"/>
      <c r="C2515" s="345"/>
      <c r="D2515" s="345"/>
      <c r="E2515" s="372"/>
      <c r="F2515" s="372"/>
      <c r="G2515" s="440"/>
      <c r="H2515" s="440"/>
      <c r="I2515" s="440"/>
      <c r="J2515" s="440"/>
      <c r="K2515" s="41"/>
      <c r="L2515" s="41"/>
      <c r="N2515" s="41"/>
      <c r="R2515" s="41"/>
      <c r="S2515" s="41"/>
      <c r="U2515" s="440"/>
      <c r="V2515" s="440"/>
    </row>
    <row r="2516" spans="1:22" x14ac:dyDescent="0.2">
      <c r="A2516" s="123"/>
      <c r="B2516" s="333"/>
      <c r="C2516" s="345"/>
      <c r="D2516" s="345"/>
      <c r="E2516" s="372"/>
      <c r="F2516" s="372"/>
      <c r="G2516" s="440"/>
      <c r="H2516" s="440"/>
      <c r="I2516" s="440"/>
      <c r="J2516" s="440"/>
      <c r="K2516" s="41"/>
      <c r="L2516" s="41"/>
      <c r="N2516" s="41"/>
      <c r="R2516" s="41"/>
      <c r="S2516" s="41"/>
      <c r="U2516" s="440"/>
      <c r="V2516" s="440"/>
    </row>
    <row r="2517" spans="1:22" x14ac:dyDescent="0.2">
      <c r="A2517" s="123"/>
      <c r="B2517" s="333"/>
      <c r="C2517" s="345"/>
      <c r="D2517" s="345"/>
      <c r="E2517" s="372"/>
      <c r="F2517" s="372"/>
      <c r="G2517" s="440"/>
      <c r="H2517" s="440"/>
      <c r="I2517" s="440"/>
      <c r="J2517" s="440"/>
      <c r="K2517" s="41"/>
      <c r="L2517" s="41"/>
      <c r="N2517" s="41"/>
      <c r="R2517" s="41"/>
      <c r="S2517" s="41"/>
      <c r="U2517" s="440"/>
      <c r="V2517" s="440"/>
    </row>
    <row r="2518" spans="1:22" x14ac:dyDescent="0.2">
      <c r="A2518" s="123"/>
      <c r="B2518" s="333"/>
      <c r="C2518" s="345"/>
      <c r="D2518" s="345"/>
      <c r="E2518" s="372"/>
      <c r="F2518" s="372"/>
      <c r="G2518" s="440"/>
      <c r="H2518" s="440"/>
      <c r="I2518" s="440"/>
      <c r="J2518" s="440"/>
      <c r="K2518" s="41"/>
      <c r="L2518" s="41"/>
      <c r="N2518" s="41"/>
      <c r="R2518" s="41"/>
      <c r="S2518" s="41"/>
      <c r="U2518" s="440"/>
      <c r="V2518" s="440"/>
    </row>
    <row r="2519" spans="1:22" x14ac:dyDescent="0.2">
      <c r="A2519" s="123"/>
      <c r="B2519" s="333"/>
      <c r="C2519" s="345"/>
      <c r="D2519" s="345"/>
      <c r="E2519" s="372"/>
      <c r="F2519" s="372"/>
      <c r="G2519" s="440"/>
      <c r="H2519" s="440"/>
      <c r="I2519" s="440"/>
      <c r="J2519" s="440"/>
      <c r="K2519" s="41"/>
      <c r="L2519" s="41"/>
      <c r="N2519" s="41"/>
      <c r="R2519" s="41"/>
      <c r="S2519" s="41"/>
      <c r="U2519" s="440"/>
      <c r="V2519" s="440"/>
    </row>
    <row r="2520" spans="1:22" x14ac:dyDescent="0.2">
      <c r="A2520" s="123"/>
      <c r="B2520" s="333"/>
      <c r="C2520" s="345"/>
      <c r="D2520" s="345"/>
      <c r="E2520" s="372"/>
      <c r="F2520" s="372"/>
      <c r="G2520" s="440"/>
      <c r="H2520" s="440"/>
      <c r="I2520" s="440"/>
      <c r="J2520" s="440"/>
      <c r="K2520" s="41"/>
      <c r="L2520" s="41"/>
      <c r="N2520" s="41"/>
      <c r="R2520" s="41"/>
      <c r="S2520" s="41"/>
      <c r="U2520" s="440"/>
      <c r="V2520" s="440"/>
    </row>
    <row r="2521" spans="1:22" x14ac:dyDescent="0.2">
      <c r="A2521" s="123"/>
      <c r="B2521" s="333"/>
      <c r="C2521" s="345"/>
      <c r="D2521" s="345"/>
      <c r="E2521" s="372"/>
      <c r="F2521" s="372"/>
      <c r="G2521" s="440"/>
      <c r="H2521" s="440"/>
      <c r="I2521" s="440"/>
      <c r="J2521" s="440"/>
      <c r="K2521" s="41"/>
      <c r="L2521" s="41"/>
      <c r="N2521" s="41"/>
      <c r="R2521" s="41"/>
      <c r="S2521" s="41"/>
      <c r="U2521" s="440"/>
      <c r="V2521" s="440"/>
    </row>
    <row r="2522" spans="1:22" x14ac:dyDescent="0.2">
      <c r="A2522" s="123"/>
      <c r="B2522" s="333"/>
      <c r="C2522" s="345"/>
      <c r="D2522" s="345"/>
      <c r="E2522" s="372"/>
      <c r="F2522" s="372"/>
      <c r="G2522" s="440"/>
      <c r="H2522" s="440"/>
      <c r="I2522" s="440"/>
      <c r="J2522" s="440"/>
      <c r="K2522" s="41"/>
      <c r="L2522" s="41"/>
      <c r="N2522" s="41"/>
      <c r="R2522" s="41"/>
      <c r="S2522" s="41"/>
      <c r="U2522" s="440"/>
      <c r="V2522" s="440"/>
    </row>
    <row r="2523" spans="1:22" x14ac:dyDescent="0.2">
      <c r="A2523" s="123"/>
      <c r="B2523" s="333"/>
      <c r="C2523" s="345"/>
      <c r="D2523" s="345"/>
      <c r="E2523" s="372"/>
      <c r="F2523" s="372"/>
      <c r="G2523" s="440"/>
      <c r="H2523" s="440"/>
      <c r="I2523" s="440"/>
      <c r="J2523" s="440"/>
      <c r="K2523" s="41"/>
      <c r="L2523" s="41"/>
      <c r="N2523" s="41"/>
      <c r="R2523" s="41"/>
      <c r="S2523" s="41"/>
      <c r="U2523" s="440"/>
      <c r="V2523" s="440"/>
    </row>
    <row r="2524" spans="1:22" x14ac:dyDescent="0.2">
      <c r="A2524" s="123"/>
      <c r="B2524" s="333"/>
      <c r="C2524" s="345"/>
      <c r="D2524" s="345"/>
      <c r="E2524" s="372"/>
      <c r="F2524" s="372"/>
      <c r="G2524" s="440"/>
      <c r="H2524" s="440"/>
      <c r="I2524" s="440"/>
      <c r="J2524" s="440"/>
      <c r="K2524" s="41"/>
      <c r="L2524" s="41"/>
      <c r="N2524" s="41"/>
      <c r="R2524" s="41"/>
      <c r="S2524" s="41"/>
      <c r="U2524" s="440"/>
      <c r="V2524" s="440"/>
    </row>
    <row r="2525" spans="1:22" x14ac:dyDescent="0.2">
      <c r="A2525" s="123"/>
      <c r="B2525" s="333"/>
      <c r="C2525" s="345"/>
      <c r="D2525" s="345"/>
      <c r="E2525" s="372"/>
      <c r="F2525" s="372"/>
      <c r="G2525" s="440"/>
      <c r="H2525" s="440"/>
      <c r="I2525" s="440"/>
      <c r="J2525" s="440"/>
      <c r="K2525" s="41"/>
      <c r="L2525" s="41"/>
      <c r="N2525" s="41"/>
      <c r="R2525" s="41"/>
      <c r="S2525" s="41"/>
      <c r="U2525" s="440"/>
      <c r="V2525" s="440"/>
    </row>
    <row r="2526" spans="1:22" x14ac:dyDescent="0.2">
      <c r="A2526" s="123"/>
      <c r="B2526" s="333"/>
      <c r="C2526" s="345"/>
      <c r="D2526" s="345"/>
      <c r="E2526" s="372"/>
      <c r="F2526" s="372"/>
      <c r="G2526" s="440"/>
      <c r="H2526" s="440"/>
      <c r="I2526" s="440"/>
      <c r="J2526" s="440"/>
      <c r="K2526" s="41"/>
      <c r="L2526" s="41"/>
      <c r="N2526" s="41"/>
      <c r="R2526" s="41"/>
      <c r="S2526" s="41"/>
      <c r="U2526" s="440"/>
      <c r="V2526" s="440"/>
    </row>
    <row r="2527" spans="1:22" x14ac:dyDescent="0.2">
      <c r="A2527" s="123"/>
      <c r="B2527" s="333"/>
      <c r="C2527" s="345"/>
      <c r="D2527" s="345"/>
      <c r="E2527" s="372"/>
      <c r="F2527" s="372"/>
      <c r="G2527" s="440"/>
      <c r="H2527" s="440"/>
      <c r="I2527" s="440"/>
      <c r="J2527" s="440"/>
      <c r="K2527" s="41"/>
      <c r="L2527" s="41"/>
      <c r="N2527" s="41"/>
      <c r="R2527" s="41"/>
      <c r="S2527" s="41"/>
      <c r="U2527" s="440"/>
      <c r="V2527" s="440"/>
    </row>
    <row r="2528" spans="1:22" x14ac:dyDescent="0.2">
      <c r="A2528" s="123"/>
      <c r="B2528" s="333"/>
      <c r="C2528" s="345"/>
      <c r="D2528" s="345"/>
      <c r="E2528" s="372"/>
      <c r="F2528" s="372"/>
      <c r="G2528" s="440"/>
      <c r="H2528" s="440"/>
      <c r="I2528" s="440"/>
      <c r="J2528" s="440"/>
      <c r="K2528" s="41"/>
      <c r="L2528" s="41"/>
      <c r="N2528" s="41"/>
      <c r="R2528" s="41"/>
      <c r="S2528" s="41"/>
      <c r="U2528" s="440"/>
      <c r="V2528" s="440"/>
    </row>
    <row r="2529" spans="1:22" x14ac:dyDescent="0.2">
      <c r="A2529" s="123"/>
      <c r="B2529" s="333"/>
      <c r="C2529" s="345"/>
      <c r="D2529" s="345"/>
      <c r="E2529" s="372"/>
      <c r="F2529" s="372"/>
      <c r="G2529" s="440"/>
      <c r="H2529" s="440"/>
      <c r="I2529" s="440"/>
      <c r="J2529" s="440"/>
      <c r="K2529" s="41"/>
      <c r="L2529" s="41"/>
      <c r="N2529" s="41"/>
      <c r="R2529" s="41"/>
      <c r="S2529" s="41"/>
      <c r="U2529" s="440"/>
      <c r="V2529" s="440"/>
    </row>
    <row r="2530" spans="1:22" x14ac:dyDescent="0.2">
      <c r="A2530" s="123"/>
      <c r="B2530" s="333"/>
      <c r="C2530" s="345"/>
      <c r="D2530" s="345"/>
      <c r="E2530" s="372"/>
      <c r="F2530" s="372"/>
      <c r="G2530" s="440"/>
      <c r="H2530" s="440"/>
      <c r="I2530" s="440"/>
      <c r="J2530" s="440"/>
      <c r="K2530" s="41"/>
      <c r="L2530" s="41"/>
      <c r="N2530" s="41"/>
      <c r="R2530" s="41"/>
      <c r="S2530" s="41"/>
      <c r="U2530" s="440"/>
      <c r="V2530" s="440"/>
    </row>
    <row r="2531" spans="1:22" x14ac:dyDescent="0.2">
      <c r="A2531" s="123"/>
      <c r="B2531" s="333"/>
      <c r="C2531" s="345"/>
      <c r="D2531" s="345"/>
      <c r="E2531" s="372"/>
      <c r="F2531" s="372"/>
      <c r="G2531" s="440"/>
      <c r="H2531" s="440"/>
      <c r="I2531" s="440"/>
      <c r="J2531" s="440"/>
      <c r="K2531" s="41"/>
      <c r="L2531" s="41"/>
      <c r="N2531" s="41"/>
      <c r="R2531" s="41"/>
      <c r="S2531" s="41"/>
      <c r="U2531" s="440"/>
      <c r="V2531" s="440"/>
    </row>
    <row r="2532" spans="1:22" x14ac:dyDescent="0.2">
      <c r="A2532" s="123"/>
      <c r="B2532" s="333"/>
      <c r="C2532" s="345"/>
      <c r="D2532" s="345"/>
      <c r="E2532" s="372"/>
      <c r="F2532" s="372"/>
      <c r="G2532" s="440"/>
      <c r="H2532" s="440"/>
      <c r="I2532" s="440"/>
      <c r="J2532" s="440"/>
      <c r="K2532" s="41"/>
      <c r="L2532" s="41"/>
      <c r="N2532" s="41"/>
      <c r="R2532" s="41"/>
      <c r="S2532" s="41"/>
      <c r="U2532" s="440"/>
      <c r="V2532" s="440"/>
    </row>
    <row r="2533" spans="1:22" x14ac:dyDescent="0.2">
      <c r="A2533" s="123"/>
      <c r="B2533" s="333"/>
      <c r="C2533" s="345"/>
      <c r="D2533" s="345"/>
      <c r="E2533" s="372"/>
      <c r="F2533" s="372"/>
      <c r="G2533" s="440"/>
      <c r="H2533" s="440"/>
      <c r="I2533" s="440"/>
      <c r="J2533" s="440"/>
      <c r="K2533" s="41"/>
      <c r="L2533" s="41"/>
      <c r="N2533" s="41"/>
      <c r="R2533" s="41"/>
      <c r="S2533" s="41"/>
      <c r="U2533" s="440"/>
      <c r="V2533" s="440"/>
    </row>
    <row r="2534" spans="1:22" x14ac:dyDescent="0.2">
      <c r="A2534" s="123"/>
      <c r="B2534" s="333"/>
      <c r="C2534" s="345"/>
      <c r="D2534" s="345"/>
      <c r="E2534" s="372"/>
      <c r="F2534" s="372"/>
      <c r="G2534" s="440"/>
      <c r="H2534" s="440"/>
      <c r="I2534" s="440"/>
      <c r="J2534" s="440"/>
      <c r="K2534" s="41"/>
      <c r="L2534" s="41"/>
      <c r="N2534" s="41"/>
      <c r="R2534" s="41"/>
      <c r="S2534" s="41"/>
      <c r="U2534" s="440"/>
      <c r="V2534" s="440"/>
    </row>
    <row r="2535" spans="1:22" x14ac:dyDescent="0.2">
      <c r="A2535" s="123"/>
      <c r="B2535" s="333"/>
      <c r="C2535" s="345"/>
      <c r="D2535" s="345"/>
      <c r="E2535" s="372"/>
      <c r="F2535" s="372"/>
      <c r="G2535" s="440"/>
      <c r="H2535" s="440"/>
      <c r="I2535" s="440"/>
      <c r="J2535" s="440"/>
      <c r="K2535" s="41"/>
      <c r="L2535" s="41"/>
      <c r="N2535" s="41"/>
      <c r="R2535" s="41"/>
      <c r="S2535" s="41"/>
      <c r="U2535" s="440"/>
      <c r="V2535" s="440"/>
    </row>
    <row r="2536" spans="1:22" x14ac:dyDescent="0.2">
      <c r="A2536" s="123"/>
      <c r="B2536" s="333"/>
      <c r="C2536" s="345"/>
      <c r="D2536" s="345"/>
      <c r="E2536" s="372"/>
      <c r="F2536" s="372"/>
      <c r="G2536" s="440"/>
      <c r="H2536" s="440"/>
      <c r="I2536" s="440"/>
      <c r="J2536" s="440"/>
      <c r="K2536" s="41"/>
      <c r="L2536" s="41"/>
      <c r="N2536" s="41"/>
      <c r="R2536" s="41"/>
      <c r="S2536" s="41"/>
      <c r="U2536" s="440"/>
      <c r="V2536" s="440"/>
    </row>
    <row r="2537" spans="1:22" x14ac:dyDescent="0.2">
      <c r="A2537" s="123"/>
      <c r="B2537" s="333"/>
      <c r="C2537" s="345"/>
      <c r="D2537" s="345"/>
      <c r="E2537" s="372"/>
      <c r="F2537" s="372"/>
      <c r="G2537" s="440"/>
      <c r="H2537" s="440"/>
      <c r="I2537" s="440"/>
      <c r="J2537" s="440"/>
      <c r="K2537" s="41"/>
      <c r="L2537" s="41"/>
      <c r="N2537" s="41"/>
      <c r="R2537" s="41"/>
      <c r="S2537" s="41"/>
      <c r="U2537" s="440"/>
      <c r="V2537" s="440"/>
    </row>
    <row r="2538" spans="1:22" x14ac:dyDescent="0.2">
      <c r="A2538" s="123"/>
      <c r="B2538" s="333"/>
      <c r="C2538" s="345"/>
      <c r="D2538" s="345"/>
      <c r="E2538" s="372"/>
      <c r="F2538" s="372"/>
      <c r="G2538" s="440"/>
      <c r="H2538" s="440"/>
      <c r="I2538" s="440"/>
      <c r="J2538" s="440"/>
      <c r="K2538" s="41"/>
      <c r="L2538" s="41"/>
      <c r="N2538" s="41"/>
      <c r="R2538" s="41"/>
      <c r="S2538" s="41"/>
      <c r="U2538" s="440"/>
      <c r="V2538" s="440"/>
    </row>
    <row r="2539" spans="1:22" x14ac:dyDescent="0.2">
      <c r="A2539" s="123"/>
      <c r="B2539" s="333"/>
      <c r="C2539" s="345"/>
      <c r="D2539" s="345"/>
      <c r="E2539" s="372"/>
      <c r="F2539" s="372"/>
      <c r="G2539" s="440"/>
      <c r="H2539" s="440"/>
      <c r="I2539" s="440"/>
      <c r="J2539" s="440"/>
      <c r="K2539" s="41"/>
      <c r="L2539" s="41"/>
      <c r="N2539" s="41"/>
      <c r="R2539" s="41"/>
      <c r="S2539" s="41"/>
      <c r="U2539" s="440"/>
      <c r="V2539" s="440"/>
    </row>
    <row r="2540" spans="1:22" x14ac:dyDescent="0.2">
      <c r="A2540" s="123"/>
      <c r="B2540" s="333"/>
      <c r="C2540" s="345"/>
      <c r="D2540" s="345"/>
      <c r="E2540" s="372"/>
      <c r="F2540" s="372"/>
      <c r="G2540" s="440"/>
      <c r="H2540" s="440"/>
      <c r="I2540" s="440"/>
      <c r="J2540" s="440"/>
      <c r="K2540" s="41"/>
      <c r="L2540" s="41"/>
      <c r="N2540" s="41"/>
      <c r="R2540" s="41"/>
      <c r="S2540" s="41"/>
      <c r="U2540" s="440"/>
      <c r="V2540" s="440"/>
    </row>
    <row r="2541" spans="1:22" x14ac:dyDescent="0.2">
      <c r="A2541" s="123"/>
      <c r="B2541" s="333"/>
      <c r="C2541" s="345"/>
      <c r="D2541" s="345"/>
      <c r="E2541" s="372"/>
      <c r="F2541" s="372"/>
      <c r="G2541" s="440"/>
      <c r="H2541" s="440"/>
      <c r="I2541" s="440"/>
      <c r="J2541" s="440"/>
      <c r="K2541" s="41"/>
      <c r="L2541" s="41"/>
      <c r="N2541" s="41"/>
      <c r="R2541" s="41"/>
      <c r="S2541" s="41"/>
      <c r="U2541" s="440"/>
      <c r="V2541" s="440"/>
    </row>
    <row r="2542" spans="1:22" x14ac:dyDescent="0.2">
      <c r="A2542" s="123"/>
      <c r="B2542" s="333"/>
      <c r="C2542" s="345"/>
      <c r="D2542" s="345"/>
      <c r="E2542" s="372"/>
      <c r="F2542" s="372"/>
      <c r="G2542" s="440"/>
      <c r="H2542" s="440"/>
      <c r="I2542" s="440"/>
      <c r="J2542" s="440"/>
      <c r="K2542" s="41"/>
      <c r="L2542" s="41"/>
      <c r="N2542" s="41"/>
      <c r="R2542" s="41"/>
      <c r="S2542" s="41"/>
      <c r="U2542" s="440"/>
      <c r="V2542" s="440"/>
    </row>
    <row r="2543" spans="1:22" x14ac:dyDescent="0.2">
      <c r="A2543" s="123"/>
      <c r="B2543" s="333"/>
      <c r="C2543" s="345"/>
      <c r="D2543" s="345"/>
      <c r="E2543" s="372"/>
      <c r="F2543" s="372"/>
      <c r="G2543" s="440"/>
      <c r="H2543" s="440"/>
      <c r="I2543" s="440"/>
      <c r="J2543" s="440"/>
      <c r="K2543" s="41"/>
      <c r="L2543" s="41"/>
      <c r="N2543" s="41"/>
      <c r="R2543" s="41"/>
      <c r="S2543" s="41"/>
      <c r="U2543" s="440"/>
      <c r="V2543" s="440"/>
    </row>
    <row r="2544" spans="1:22" x14ac:dyDescent="0.2">
      <c r="A2544" s="123"/>
      <c r="B2544" s="333"/>
      <c r="C2544" s="345"/>
      <c r="D2544" s="345"/>
      <c r="E2544" s="372"/>
      <c r="F2544" s="372"/>
      <c r="G2544" s="440"/>
      <c r="H2544" s="440"/>
      <c r="I2544" s="440"/>
      <c r="J2544" s="440"/>
      <c r="K2544" s="41"/>
      <c r="L2544" s="41"/>
      <c r="N2544" s="41"/>
      <c r="R2544" s="41"/>
      <c r="S2544" s="41"/>
      <c r="U2544" s="440"/>
      <c r="V2544" s="440"/>
    </row>
    <row r="2545" spans="1:22" x14ac:dyDescent="0.2">
      <c r="A2545" s="123"/>
      <c r="B2545" s="333"/>
      <c r="C2545" s="345"/>
      <c r="D2545" s="345"/>
      <c r="E2545" s="372"/>
      <c r="F2545" s="372"/>
      <c r="G2545" s="440"/>
      <c r="H2545" s="440"/>
      <c r="I2545" s="440"/>
      <c r="J2545" s="440"/>
      <c r="K2545" s="41"/>
      <c r="L2545" s="41"/>
      <c r="N2545" s="41"/>
      <c r="R2545" s="41"/>
      <c r="S2545" s="41"/>
      <c r="U2545" s="440"/>
      <c r="V2545" s="440"/>
    </row>
    <row r="2546" spans="1:22" x14ac:dyDescent="0.2">
      <c r="A2546" s="123"/>
      <c r="B2546" s="333"/>
      <c r="C2546" s="345"/>
      <c r="D2546" s="345"/>
      <c r="E2546" s="372"/>
      <c r="F2546" s="372"/>
      <c r="G2546" s="440"/>
      <c r="H2546" s="440"/>
      <c r="I2546" s="440"/>
      <c r="J2546" s="440"/>
      <c r="K2546" s="41"/>
      <c r="L2546" s="41"/>
      <c r="N2546" s="41"/>
      <c r="R2546" s="41"/>
      <c r="S2546" s="41"/>
      <c r="U2546" s="440"/>
      <c r="V2546" s="440"/>
    </row>
    <row r="2547" spans="1:22" x14ac:dyDescent="0.2">
      <c r="A2547" s="123"/>
      <c r="B2547" s="333"/>
      <c r="C2547" s="345"/>
      <c r="D2547" s="345"/>
      <c r="E2547" s="372"/>
      <c r="F2547" s="372"/>
      <c r="G2547" s="440"/>
      <c r="H2547" s="440"/>
      <c r="I2547" s="440"/>
      <c r="J2547" s="440"/>
      <c r="K2547" s="41"/>
      <c r="L2547" s="41"/>
      <c r="N2547" s="41"/>
      <c r="R2547" s="41"/>
      <c r="S2547" s="41"/>
      <c r="U2547" s="440"/>
      <c r="V2547" s="440"/>
    </row>
    <row r="2548" spans="1:22" x14ac:dyDescent="0.2">
      <c r="A2548" s="123"/>
      <c r="B2548" s="333"/>
      <c r="C2548" s="345"/>
      <c r="D2548" s="345"/>
      <c r="E2548" s="372"/>
      <c r="F2548" s="372"/>
      <c r="G2548" s="440"/>
      <c r="H2548" s="440"/>
      <c r="I2548" s="440"/>
      <c r="J2548" s="440"/>
      <c r="K2548" s="41"/>
      <c r="L2548" s="41"/>
      <c r="N2548" s="41"/>
      <c r="R2548" s="41"/>
      <c r="S2548" s="41"/>
      <c r="U2548" s="440"/>
      <c r="V2548" s="440"/>
    </row>
    <row r="2549" spans="1:22" x14ac:dyDescent="0.2">
      <c r="A2549" s="123"/>
      <c r="B2549" s="333"/>
      <c r="C2549" s="345"/>
      <c r="D2549" s="345"/>
      <c r="E2549" s="372"/>
      <c r="F2549" s="372"/>
      <c r="G2549" s="440"/>
      <c r="H2549" s="440"/>
      <c r="I2549" s="440"/>
      <c r="J2549" s="440"/>
      <c r="K2549" s="41"/>
      <c r="L2549" s="41"/>
      <c r="N2549" s="41"/>
      <c r="R2549" s="41"/>
      <c r="S2549" s="41"/>
      <c r="U2549" s="440"/>
      <c r="V2549" s="440"/>
    </row>
    <row r="2550" spans="1:22" x14ac:dyDescent="0.2">
      <c r="A2550" s="123"/>
      <c r="B2550" s="333"/>
      <c r="C2550" s="345"/>
      <c r="D2550" s="345"/>
      <c r="E2550" s="372"/>
      <c r="F2550" s="372"/>
      <c r="G2550" s="440"/>
      <c r="H2550" s="440"/>
      <c r="I2550" s="440"/>
      <c r="J2550" s="440"/>
      <c r="K2550" s="41"/>
      <c r="L2550" s="41"/>
      <c r="N2550" s="41"/>
      <c r="R2550" s="41"/>
      <c r="S2550" s="41"/>
      <c r="U2550" s="440"/>
      <c r="V2550" s="440"/>
    </row>
    <row r="2551" spans="1:22" x14ac:dyDescent="0.2">
      <c r="A2551" s="123"/>
      <c r="B2551" s="333"/>
      <c r="C2551" s="345"/>
      <c r="D2551" s="345"/>
      <c r="E2551" s="372"/>
      <c r="F2551" s="372"/>
      <c r="G2551" s="440"/>
      <c r="H2551" s="440"/>
      <c r="I2551" s="440"/>
      <c r="J2551" s="440"/>
      <c r="K2551" s="41"/>
      <c r="L2551" s="41"/>
      <c r="N2551" s="41"/>
      <c r="R2551" s="41"/>
      <c r="S2551" s="41"/>
      <c r="U2551" s="440"/>
      <c r="V2551" s="440"/>
    </row>
    <row r="2552" spans="1:22" x14ac:dyDescent="0.2">
      <c r="A2552" s="123"/>
      <c r="B2552" s="333"/>
      <c r="C2552" s="345"/>
      <c r="D2552" s="345"/>
      <c r="E2552" s="372"/>
      <c r="F2552" s="372"/>
      <c r="G2552" s="440"/>
      <c r="H2552" s="440"/>
      <c r="I2552" s="440"/>
      <c r="J2552" s="440"/>
      <c r="K2552" s="41"/>
      <c r="L2552" s="41"/>
      <c r="N2552" s="41"/>
      <c r="R2552" s="41"/>
      <c r="S2552" s="41"/>
      <c r="U2552" s="440"/>
      <c r="V2552" s="440"/>
    </row>
    <row r="2553" spans="1:22" x14ac:dyDescent="0.2">
      <c r="A2553" s="123"/>
      <c r="B2553" s="333"/>
      <c r="C2553" s="345"/>
      <c r="D2553" s="345"/>
      <c r="E2553" s="372"/>
      <c r="F2553" s="372"/>
      <c r="G2553" s="440"/>
      <c r="H2553" s="440"/>
      <c r="I2553" s="440"/>
      <c r="J2553" s="440"/>
      <c r="K2553" s="41"/>
      <c r="L2553" s="41"/>
      <c r="N2553" s="41"/>
      <c r="R2553" s="41"/>
      <c r="S2553" s="41"/>
      <c r="U2553" s="440"/>
      <c r="V2553" s="440"/>
    </row>
    <row r="2554" spans="1:22" x14ac:dyDescent="0.2">
      <c r="A2554" s="123"/>
      <c r="B2554" s="333"/>
      <c r="C2554" s="345"/>
      <c r="D2554" s="345"/>
      <c r="E2554" s="372"/>
      <c r="F2554" s="372"/>
      <c r="G2554" s="440"/>
      <c r="H2554" s="440"/>
      <c r="I2554" s="440"/>
      <c r="J2554" s="440"/>
      <c r="K2554" s="41"/>
      <c r="L2554" s="41"/>
      <c r="N2554" s="41"/>
      <c r="R2554" s="41"/>
      <c r="S2554" s="41"/>
      <c r="U2554" s="440"/>
      <c r="V2554" s="440"/>
    </row>
    <row r="2555" spans="1:22" x14ac:dyDescent="0.2">
      <c r="A2555" s="123"/>
      <c r="B2555" s="333"/>
      <c r="C2555" s="345"/>
      <c r="D2555" s="345"/>
      <c r="E2555" s="372"/>
      <c r="F2555" s="372"/>
      <c r="G2555" s="440"/>
      <c r="H2555" s="440"/>
      <c r="I2555" s="440"/>
      <c r="J2555" s="440"/>
      <c r="K2555" s="41"/>
      <c r="L2555" s="41"/>
      <c r="N2555" s="41"/>
      <c r="R2555" s="41"/>
      <c r="S2555" s="41"/>
      <c r="U2555" s="440"/>
      <c r="V2555" s="440"/>
    </row>
    <row r="2556" spans="1:22" x14ac:dyDescent="0.2">
      <c r="A2556" s="123"/>
      <c r="B2556" s="333"/>
      <c r="C2556" s="345"/>
      <c r="D2556" s="345"/>
      <c r="E2556" s="372"/>
      <c r="F2556" s="372"/>
      <c r="G2556" s="440"/>
      <c r="H2556" s="440"/>
      <c r="I2556" s="440"/>
      <c r="J2556" s="440"/>
      <c r="K2556" s="41"/>
      <c r="L2556" s="41"/>
      <c r="N2556" s="41"/>
      <c r="R2556" s="41"/>
      <c r="S2556" s="41"/>
      <c r="U2556" s="440"/>
      <c r="V2556" s="440"/>
    </row>
    <row r="2557" spans="1:22" x14ac:dyDescent="0.2">
      <c r="A2557" s="123"/>
      <c r="B2557" s="333"/>
      <c r="C2557" s="345"/>
      <c r="D2557" s="345"/>
      <c r="E2557" s="372"/>
      <c r="F2557" s="372"/>
      <c r="G2557" s="440"/>
      <c r="H2557" s="440"/>
      <c r="I2557" s="440"/>
      <c r="J2557" s="440"/>
      <c r="K2557" s="41"/>
      <c r="L2557" s="41"/>
      <c r="N2557" s="41"/>
      <c r="R2557" s="41"/>
      <c r="S2557" s="41"/>
      <c r="U2557" s="440"/>
      <c r="V2557" s="440"/>
    </row>
    <row r="2558" spans="1:22" x14ac:dyDescent="0.2">
      <c r="A2558" s="123"/>
      <c r="B2558" s="333"/>
      <c r="C2558" s="345"/>
      <c r="D2558" s="345"/>
      <c r="E2558" s="372"/>
      <c r="F2558" s="372"/>
      <c r="G2558" s="440"/>
      <c r="H2558" s="440"/>
      <c r="I2558" s="440"/>
      <c r="J2558" s="440"/>
      <c r="K2558" s="41"/>
      <c r="L2558" s="41"/>
      <c r="N2558" s="41"/>
      <c r="R2558" s="41"/>
      <c r="S2558" s="41"/>
      <c r="U2558" s="440"/>
      <c r="V2558" s="440"/>
    </row>
    <row r="2559" spans="1:22" x14ac:dyDescent="0.2">
      <c r="A2559" s="123"/>
      <c r="B2559" s="333"/>
      <c r="C2559" s="345"/>
      <c r="D2559" s="345"/>
      <c r="E2559" s="372"/>
      <c r="F2559" s="372"/>
      <c r="G2559" s="440"/>
      <c r="H2559" s="440"/>
      <c r="I2559" s="440"/>
      <c r="J2559" s="440"/>
      <c r="K2559" s="41"/>
      <c r="L2559" s="41"/>
      <c r="N2559" s="41"/>
      <c r="R2559" s="41"/>
      <c r="S2559" s="41"/>
      <c r="U2559" s="440"/>
      <c r="V2559" s="440"/>
    </row>
    <row r="2560" spans="1:22" x14ac:dyDescent="0.2">
      <c r="A2560" s="123"/>
      <c r="B2560" s="333"/>
      <c r="C2560" s="345"/>
      <c r="D2560" s="345"/>
      <c r="E2560" s="372"/>
      <c r="F2560" s="372"/>
      <c r="G2560" s="440"/>
      <c r="H2560" s="440"/>
      <c r="I2560" s="440"/>
      <c r="J2560" s="440"/>
      <c r="K2560" s="41"/>
      <c r="L2560" s="41"/>
      <c r="N2560" s="41"/>
      <c r="R2560" s="41"/>
      <c r="S2560" s="41"/>
      <c r="U2560" s="440"/>
      <c r="V2560" s="440"/>
    </row>
    <row r="2561" spans="1:22" x14ac:dyDescent="0.2">
      <c r="A2561" s="123"/>
      <c r="B2561" s="333"/>
      <c r="C2561" s="345"/>
      <c r="D2561" s="345"/>
      <c r="E2561" s="372"/>
      <c r="F2561" s="372"/>
      <c r="G2561" s="440"/>
      <c r="H2561" s="440"/>
      <c r="I2561" s="440"/>
      <c r="J2561" s="440"/>
      <c r="K2561" s="41"/>
      <c r="L2561" s="41"/>
      <c r="N2561" s="41"/>
      <c r="R2561" s="41"/>
      <c r="S2561" s="41"/>
      <c r="U2561" s="440"/>
      <c r="V2561" s="440"/>
    </row>
    <row r="2562" spans="1:22" x14ac:dyDescent="0.2">
      <c r="A2562" s="123"/>
      <c r="B2562" s="333"/>
      <c r="C2562" s="345"/>
      <c r="D2562" s="345"/>
      <c r="E2562" s="372"/>
      <c r="F2562" s="372"/>
      <c r="G2562" s="440"/>
      <c r="H2562" s="440"/>
      <c r="I2562" s="440"/>
      <c r="J2562" s="440"/>
      <c r="K2562" s="41"/>
      <c r="L2562" s="41"/>
      <c r="N2562" s="41"/>
      <c r="R2562" s="41"/>
      <c r="S2562" s="41"/>
      <c r="U2562" s="440"/>
      <c r="V2562" s="440"/>
    </row>
    <row r="2563" spans="1:22" x14ac:dyDescent="0.2">
      <c r="A2563" s="123"/>
      <c r="B2563" s="333"/>
      <c r="C2563" s="345"/>
      <c r="D2563" s="345"/>
      <c r="E2563" s="372"/>
      <c r="F2563" s="372"/>
      <c r="G2563" s="440"/>
      <c r="H2563" s="440"/>
      <c r="I2563" s="440"/>
      <c r="J2563" s="440"/>
      <c r="K2563" s="41"/>
      <c r="L2563" s="41"/>
      <c r="N2563" s="41"/>
      <c r="R2563" s="41"/>
      <c r="S2563" s="41"/>
      <c r="U2563" s="440"/>
      <c r="V2563" s="440"/>
    </row>
    <row r="2564" spans="1:22" x14ac:dyDescent="0.2">
      <c r="A2564" s="123"/>
      <c r="B2564" s="333"/>
      <c r="C2564" s="345"/>
      <c r="D2564" s="345"/>
      <c r="E2564" s="372"/>
      <c r="F2564" s="372"/>
      <c r="G2564" s="440"/>
      <c r="H2564" s="440"/>
      <c r="I2564" s="440"/>
      <c r="J2564" s="440"/>
      <c r="K2564" s="41"/>
      <c r="L2564" s="41"/>
      <c r="N2564" s="41"/>
      <c r="R2564" s="41"/>
      <c r="S2564" s="41"/>
      <c r="U2564" s="440"/>
      <c r="V2564" s="440"/>
    </row>
    <row r="2565" spans="1:22" x14ac:dyDescent="0.2">
      <c r="A2565" s="123"/>
      <c r="B2565" s="333"/>
      <c r="C2565" s="345"/>
      <c r="D2565" s="345"/>
      <c r="E2565" s="372"/>
      <c r="F2565" s="372"/>
      <c r="G2565" s="440"/>
      <c r="H2565" s="440"/>
      <c r="I2565" s="440"/>
      <c r="J2565" s="440"/>
      <c r="K2565" s="41"/>
      <c r="L2565" s="41"/>
      <c r="N2565" s="41"/>
      <c r="R2565" s="41"/>
      <c r="S2565" s="41"/>
      <c r="U2565" s="440"/>
      <c r="V2565" s="440"/>
    </row>
    <row r="2566" spans="1:22" x14ac:dyDescent="0.2">
      <c r="A2566" s="123"/>
      <c r="B2566" s="333"/>
      <c r="C2566" s="345"/>
      <c r="D2566" s="345"/>
      <c r="E2566" s="372"/>
      <c r="F2566" s="372"/>
      <c r="G2566" s="440"/>
      <c r="H2566" s="440"/>
      <c r="I2566" s="440"/>
      <c r="J2566" s="440"/>
      <c r="K2566" s="41"/>
      <c r="L2566" s="41"/>
      <c r="N2566" s="41"/>
      <c r="R2566" s="41"/>
      <c r="S2566" s="41"/>
      <c r="U2566" s="440"/>
      <c r="V2566" s="440"/>
    </row>
    <row r="2567" spans="1:22" x14ac:dyDescent="0.2">
      <c r="A2567" s="123"/>
      <c r="B2567" s="333"/>
      <c r="C2567" s="345"/>
      <c r="D2567" s="345"/>
      <c r="E2567" s="372"/>
      <c r="F2567" s="372"/>
      <c r="G2567" s="440"/>
      <c r="H2567" s="440"/>
      <c r="I2567" s="440"/>
      <c r="J2567" s="440"/>
      <c r="K2567" s="41"/>
      <c r="L2567" s="41"/>
      <c r="N2567" s="41"/>
      <c r="R2567" s="41"/>
      <c r="S2567" s="41"/>
      <c r="U2567" s="440"/>
      <c r="V2567" s="440"/>
    </row>
    <row r="2568" spans="1:22" x14ac:dyDescent="0.2">
      <c r="A2568" s="123"/>
      <c r="B2568" s="333"/>
      <c r="C2568" s="345"/>
      <c r="D2568" s="345"/>
      <c r="E2568" s="372"/>
      <c r="F2568" s="372"/>
      <c r="G2568" s="440"/>
      <c r="H2568" s="440"/>
      <c r="I2568" s="440"/>
      <c r="J2568" s="440"/>
      <c r="K2568" s="41"/>
      <c r="L2568" s="41"/>
      <c r="N2568" s="41"/>
      <c r="R2568" s="41"/>
      <c r="S2568" s="41"/>
      <c r="U2568" s="440"/>
      <c r="V2568" s="440"/>
    </row>
    <row r="2569" spans="1:22" x14ac:dyDescent="0.2">
      <c r="A2569" s="123"/>
      <c r="B2569" s="333"/>
      <c r="C2569" s="345"/>
      <c r="D2569" s="345"/>
      <c r="E2569" s="372"/>
      <c r="F2569" s="372"/>
      <c r="G2569" s="440"/>
      <c r="H2569" s="440"/>
      <c r="I2569" s="440"/>
      <c r="J2569" s="440"/>
      <c r="K2569" s="41"/>
      <c r="L2569" s="41"/>
      <c r="N2569" s="41"/>
      <c r="R2569" s="41"/>
      <c r="S2569" s="41"/>
      <c r="U2569" s="440"/>
      <c r="V2569" s="440"/>
    </row>
    <row r="2570" spans="1:22" x14ac:dyDescent="0.2">
      <c r="A2570" s="123"/>
      <c r="B2570" s="333"/>
      <c r="C2570" s="345"/>
      <c r="D2570" s="345"/>
      <c r="E2570" s="372"/>
      <c r="F2570" s="372"/>
      <c r="G2570" s="440"/>
      <c r="H2570" s="440"/>
      <c r="I2570" s="440"/>
      <c r="J2570" s="440"/>
      <c r="K2570" s="41"/>
      <c r="L2570" s="41"/>
      <c r="N2570" s="41"/>
      <c r="R2570" s="41"/>
      <c r="S2570" s="41"/>
      <c r="U2570" s="440"/>
      <c r="V2570" s="440"/>
    </row>
    <row r="2571" spans="1:22" x14ac:dyDescent="0.2">
      <c r="A2571" s="123"/>
      <c r="B2571" s="333"/>
      <c r="C2571" s="345"/>
      <c r="D2571" s="345"/>
      <c r="E2571" s="372"/>
      <c r="F2571" s="372"/>
      <c r="G2571" s="440"/>
      <c r="H2571" s="440"/>
      <c r="I2571" s="440"/>
      <c r="J2571" s="440"/>
      <c r="K2571" s="41"/>
      <c r="L2571" s="41"/>
      <c r="N2571" s="41"/>
      <c r="R2571" s="41"/>
      <c r="S2571" s="41"/>
      <c r="U2571" s="440"/>
      <c r="V2571" s="440"/>
    </row>
    <row r="2572" spans="1:22" x14ac:dyDescent="0.2">
      <c r="A2572" s="123"/>
      <c r="B2572" s="333"/>
      <c r="C2572" s="345"/>
      <c r="D2572" s="345"/>
      <c r="E2572" s="372"/>
      <c r="F2572" s="372"/>
      <c r="G2572" s="440"/>
      <c r="H2572" s="440"/>
      <c r="I2572" s="440"/>
      <c r="J2572" s="440"/>
      <c r="K2572" s="41"/>
      <c r="L2572" s="41"/>
      <c r="N2572" s="41"/>
      <c r="R2572" s="41"/>
      <c r="S2572" s="41"/>
      <c r="U2572" s="440"/>
      <c r="V2572" s="440"/>
    </row>
    <row r="2573" spans="1:22" x14ac:dyDescent="0.2">
      <c r="A2573" s="123"/>
      <c r="B2573" s="333"/>
      <c r="C2573" s="345"/>
      <c r="D2573" s="345"/>
      <c r="E2573" s="372"/>
      <c r="F2573" s="372"/>
      <c r="G2573" s="440"/>
      <c r="H2573" s="440"/>
      <c r="I2573" s="440"/>
      <c r="J2573" s="440"/>
      <c r="K2573" s="41"/>
      <c r="L2573" s="41"/>
      <c r="N2573" s="41"/>
      <c r="R2573" s="41"/>
      <c r="S2573" s="41"/>
      <c r="U2573" s="440"/>
      <c r="V2573" s="440"/>
    </row>
    <row r="2574" spans="1:22" x14ac:dyDescent="0.2">
      <c r="A2574" s="123"/>
      <c r="B2574" s="333"/>
      <c r="C2574" s="345"/>
      <c r="D2574" s="345"/>
      <c r="E2574" s="372"/>
      <c r="F2574" s="372"/>
      <c r="G2574" s="440"/>
      <c r="H2574" s="440"/>
      <c r="I2574" s="440"/>
      <c r="J2574" s="440"/>
      <c r="K2574" s="41"/>
      <c r="L2574" s="41"/>
      <c r="N2574" s="41"/>
      <c r="R2574" s="41"/>
      <c r="S2574" s="41"/>
      <c r="U2574" s="440"/>
      <c r="V2574" s="440"/>
    </row>
    <row r="2575" spans="1:22" x14ac:dyDescent="0.2">
      <c r="A2575" s="123"/>
      <c r="B2575" s="333"/>
      <c r="C2575" s="345"/>
      <c r="D2575" s="345"/>
      <c r="E2575" s="372"/>
      <c r="F2575" s="372"/>
      <c r="G2575" s="440"/>
      <c r="H2575" s="440"/>
      <c r="I2575" s="440"/>
      <c r="J2575" s="440"/>
      <c r="K2575" s="41"/>
      <c r="L2575" s="41"/>
      <c r="N2575" s="41"/>
      <c r="R2575" s="41"/>
      <c r="S2575" s="41"/>
      <c r="U2575" s="440"/>
      <c r="V2575" s="440"/>
    </row>
    <row r="2576" spans="1:22" x14ac:dyDescent="0.2">
      <c r="A2576" s="123"/>
      <c r="B2576" s="333"/>
      <c r="C2576" s="345"/>
      <c r="D2576" s="345"/>
      <c r="E2576" s="372"/>
      <c r="F2576" s="372"/>
      <c r="G2576" s="440"/>
      <c r="H2576" s="440"/>
      <c r="I2576" s="440"/>
      <c r="J2576" s="440"/>
      <c r="K2576" s="41"/>
      <c r="L2576" s="41"/>
      <c r="N2576" s="41"/>
      <c r="R2576" s="41"/>
      <c r="S2576" s="41"/>
      <c r="U2576" s="440"/>
      <c r="V2576" s="440"/>
    </row>
    <row r="2577" spans="1:22" x14ac:dyDescent="0.2">
      <c r="A2577" s="123"/>
      <c r="B2577" s="333"/>
      <c r="C2577" s="345"/>
      <c r="D2577" s="345"/>
      <c r="E2577" s="372"/>
      <c r="F2577" s="372"/>
      <c r="G2577" s="440"/>
      <c r="H2577" s="440"/>
      <c r="I2577" s="440"/>
      <c r="J2577" s="440"/>
      <c r="K2577" s="41"/>
      <c r="L2577" s="41"/>
      <c r="N2577" s="41"/>
      <c r="R2577" s="41"/>
      <c r="S2577" s="41"/>
      <c r="U2577" s="440"/>
      <c r="V2577" s="440"/>
    </row>
    <row r="2578" spans="1:22" x14ac:dyDescent="0.2">
      <c r="A2578" s="123"/>
      <c r="B2578" s="333"/>
      <c r="C2578" s="345"/>
      <c r="D2578" s="345"/>
      <c r="E2578" s="372"/>
      <c r="F2578" s="372"/>
      <c r="G2578" s="440"/>
      <c r="H2578" s="440"/>
      <c r="I2578" s="440"/>
      <c r="J2578" s="440"/>
      <c r="K2578" s="41"/>
      <c r="L2578" s="41"/>
      <c r="N2578" s="41"/>
      <c r="R2578" s="41"/>
      <c r="S2578" s="41"/>
      <c r="U2578" s="440"/>
      <c r="V2578" s="440"/>
    </row>
    <row r="2579" spans="1:22" x14ac:dyDescent="0.2">
      <c r="A2579" s="123"/>
      <c r="B2579" s="333"/>
      <c r="C2579" s="345"/>
      <c r="D2579" s="345"/>
      <c r="E2579" s="372"/>
      <c r="F2579" s="372"/>
      <c r="G2579" s="440"/>
      <c r="H2579" s="440"/>
      <c r="I2579" s="440"/>
      <c r="J2579" s="440"/>
      <c r="K2579" s="41"/>
      <c r="L2579" s="41"/>
      <c r="N2579" s="41"/>
      <c r="R2579" s="41"/>
      <c r="S2579" s="41"/>
      <c r="U2579" s="440"/>
      <c r="V2579" s="440"/>
    </row>
    <row r="2580" spans="1:22" x14ac:dyDescent="0.2">
      <c r="A2580" s="123"/>
      <c r="B2580" s="333"/>
      <c r="C2580" s="345"/>
      <c r="D2580" s="345"/>
      <c r="E2580" s="372"/>
      <c r="F2580" s="372"/>
      <c r="G2580" s="440"/>
      <c r="H2580" s="440"/>
      <c r="I2580" s="440"/>
      <c r="J2580" s="440"/>
      <c r="K2580" s="41"/>
      <c r="L2580" s="41"/>
      <c r="N2580" s="41"/>
      <c r="R2580" s="41"/>
      <c r="S2580" s="41"/>
      <c r="U2580" s="440"/>
      <c r="V2580" s="440"/>
    </row>
    <row r="2581" spans="1:22" x14ac:dyDescent="0.2">
      <c r="A2581" s="123"/>
      <c r="B2581" s="333"/>
      <c r="C2581" s="345"/>
      <c r="D2581" s="345"/>
      <c r="E2581" s="372"/>
      <c r="F2581" s="372"/>
      <c r="G2581" s="440"/>
      <c r="H2581" s="440"/>
      <c r="I2581" s="440"/>
      <c r="J2581" s="440"/>
      <c r="K2581" s="41"/>
      <c r="L2581" s="41"/>
      <c r="N2581" s="41"/>
      <c r="R2581" s="41"/>
      <c r="S2581" s="41"/>
      <c r="U2581" s="440"/>
      <c r="V2581" s="440"/>
    </row>
    <row r="2582" spans="1:22" x14ac:dyDescent="0.2">
      <c r="A2582" s="123"/>
      <c r="B2582" s="333"/>
      <c r="C2582" s="345"/>
      <c r="D2582" s="345"/>
      <c r="E2582" s="372"/>
      <c r="F2582" s="372"/>
      <c r="G2582" s="440"/>
      <c r="H2582" s="440"/>
      <c r="I2582" s="440"/>
      <c r="J2582" s="440"/>
      <c r="K2582" s="41"/>
      <c r="L2582" s="41"/>
      <c r="N2582" s="41"/>
      <c r="R2582" s="41"/>
      <c r="S2582" s="41"/>
      <c r="U2582" s="440"/>
      <c r="V2582" s="440"/>
    </row>
    <row r="2583" spans="1:22" x14ac:dyDescent="0.2">
      <c r="A2583" s="123"/>
      <c r="B2583" s="333"/>
      <c r="C2583" s="345"/>
      <c r="D2583" s="345"/>
      <c r="E2583" s="372"/>
      <c r="F2583" s="372"/>
      <c r="G2583" s="440"/>
      <c r="H2583" s="440"/>
      <c r="I2583" s="440"/>
      <c r="J2583" s="440"/>
      <c r="K2583" s="41"/>
      <c r="L2583" s="41"/>
      <c r="N2583" s="41"/>
      <c r="R2583" s="41"/>
      <c r="S2583" s="41"/>
      <c r="U2583" s="440"/>
      <c r="V2583" s="440"/>
    </row>
    <row r="2584" spans="1:22" x14ac:dyDescent="0.2">
      <c r="A2584" s="123"/>
      <c r="B2584" s="333"/>
      <c r="C2584" s="345"/>
      <c r="D2584" s="345"/>
      <c r="E2584" s="372"/>
      <c r="F2584" s="372"/>
      <c r="G2584" s="440"/>
      <c r="H2584" s="440"/>
      <c r="I2584" s="440"/>
      <c r="J2584" s="440"/>
      <c r="K2584" s="41"/>
      <c r="L2584" s="41"/>
      <c r="N2584" s="41"/>
      <c r="R2584" s="41"/>
      <c r="S2584" s="41"/>
      <c r="U2584" s="440"/>
      <c r="V2584" s="440"/>
    </row>
    <row r="2585" spans="1:22" x14ac:dyDescent="0.2">
      <c r="A2585" s="123"/>
      <c r="B2585" s="333"/>
      <c r="C2585" s="345"/>
      <c r="D2585" s="345"/>
      <c r="E2585" s="372"/>
      <c r="F2585" s="372"/>
      <c r="G2585" s="440"/>
      <c r="H2585" s="440"/>
      <c r="I2585" s="440"/>
      <c r="J2585" s="440"/>
      <c r="K2585" s="41"/>
      <c r="L2585" s="41"/>
      <c r="N2585" s="41"/>
      <c r="R2585" s="41"/>
      <c r="S2585" s="41"/>
      <c r="U2585" s="440"/>
      <c r="V2585" s="440"/>
    </row>
    <row r="2586" spans="1:22" x14ac:dyDescent="0.2">
      <c r="A2586" s="123"/>
      <c r="B2586" s="333"/>
      <c r="C2586" s="345"/>
      <c r="D2586" s="345"/>
      <c r="E2586" s="372"/>
      <c r="F2586" s="372"/>
      <c r="G2586" s="440"/>
      <c r="H2586" s="440"/>
      <c r="I2586" s="440"/>
      <c r="J2586" s="440"/>
      <c r="K2586" s="41"/>
      <c r="L2586" s="41"/>
      <c r="N2586" s="41"/>
      <c r="R2586" s="41"/>
      <c r="S2586" s="41"/>
      <c r="U2586" s="440"/>
      <c r="V2586" s="440"/>
    </row>
    <row r="2587" spans="1:22" x14ac:dyDescent="0.2">
      <c r="A2587" s="123"/>
      <c r="B2587" s="333"/>
      <c r="C2587" s="345"/>
      <c r="D2587" s="345"/>
      <c r="E2587" s="372"/>
      <c r="F2587" s="372"/>
      <c r="G2587" s="440"/>
      <c r="H2587" s="440"/>
      <c r="I2587" s="440"/>
      <c r="J2587" s="440"/>
      <c r="K2587" s="41"/>
      <c r="L2587" s="41"/>
      <c r="N2587" s="41"/>
      <c r="R2587" s="41"/>
      <c r="S2587" s="41"/>
      <c r="U2587" s="440"/>
      <c r="V2587" s="440"/>
    </row>
    <row r="2588" spans="1:22" x14ac:dyDescent="0.2">
      <c r="A2588" s="123"/>
      <c r="B2588" s="333"/>
      <c r="C2588" s="345"/>
      <c r="D2588" s="345"/>
      <c r="E2588" s="372"/>
      <c r="F2588" s="372"/>
      <c r="G2588" s="440"/>
      <c r="H2588" s="440"/>
      <c r="I2588" s="440"/>
      <c r="J2588" s="440"/>
      <c r="K2588" s="41"/>
      <c r="L2588" s="41"/>
      <c r="N2588" s="41"/>
      <c r="R2588" s="41"/>
      <c r="S2588" s="41"/>
      <c r="U2588" s="440"/>
      <c r="V2588" s="440"/>
    </row>
    <row r="2589" spans="1:22" x14ac:dyDescent="0.2">
      <c r="A2589" s="123"/>
      <c r="B2589" s="333"/>
      <c r="C2589" s="345"/>
      <c r="D2589" s="345"/>
      <c r="E2589" s="372"/>
      <c r="F2589" s="372"/>
      <c r="G2589" s="440"/>
      <c r="H2589" s="440"/>
      <c r="I2589" s="440"/>
      <c r="J2589" s="440"/>
      <c r="K2589" s="41"/>
      <c r="L2589" s="41"/>
      <c r="N2589" s="41"/>
      <c r="R2589" s="41"/>
      <c r="S2589" s="41"/>
      <c r="U2589" s="440"/>
      <c r="V2589" s="440"/>
    </row>
    <row r="2590" spans="1:22" x14ac:dyDescent="0.2">
      <c r="A2590" s="123"/>
      <c r="B2590" s="333"/>
      <c r="C2590" s="345"/>
      <c r="D2590" s="345"/>
      <c r="E2590" s="372"/>
      <c r="F2590" s="372"/>
      <c r="G2590" s="440"/>
      <c r="H2590" s="440"/>
      <c r="I2590" s="440"/>
      <c r="J2590" s="440"/>
      <c r="K2590" s="41"/>
      <c r="L2590" s="41"/>
      <c r="N2590" s="41"/>
      <c r="R2590" s="41"/>
      <c r="S2590" s="41"/>
      <c r="U2590" s="440"/>
      <c r="V2590" s="440"/>
    </row>
    <row r="2591" spans="1:22" x14ac:dyDescent="0.2">
      <c r="A2591" s="123"/>
      <c r="B2591" s="333"/>
      <c r="C2591" s="345"/>
      <c r="D2591" s="345"/>
      <c r="E2591" s="372"/>
      <c r="F2591" s="372"/>
      <c r="G2591" s="440"/>
      <c r="H2591" s="440"/>
      <c r="I2591" s="440"/>
      <c r="J2591" s="440"/>
      <c r="K2591" s="41"/>
      <c r="L2591" s="41"/>
      <c r="N2591" s="41"/>
      <c r="R2591" s="41"/>
      <c r="S2591" s="41"/>
      <c r="U2591" s="440"/>
      <c r="V2591" s="440"/>
    </row>
    <row r="2592" spans="1:22" x14ac:dyDescent="0.2">
      <c r="A2592" s="123"/>
      <c r="B2592" s="333"/>
      <c r="C2592" s="345"/>
      <c r="D2592" s="345"/>
      <c r="E2592" s="372"/>
      <c r="F2592" s="372"/>
      <c r="G2592" s="440"/>
      <c r="H2592" s="440"/>
      <c r="I2592" s="440"/>
      <c r="J2592" s="440"/>
      <c r="K2592" s="41"/>
      <c r="L2592" s="41"/>
      <c r="N2592" s="41"/>
      <c r="R2592" s="41"/>
      <c r="S2592" s="41"/>
      <c r="U2592" s="440"/>
      <c r="V2592" s="440"/>
    </row>
    <row r="2593" spans="1:22" x14ac:dyDescent="0.2">
      <c r="A2593" s="123"/>
      <c r="B2593" s="333"/>
      <c r="C2593" s="345"/>
      <c r="D2593" s="345"/>
      <c r="E2593" s="372"/>
      <c r="F2593" s="372"/>
      <c r="G2593" s="440"/>
      <c r="H2593" s="440"/>
      <c r="I2593" s="440"/>
      <c r="J2593" s="440"/>
      <c r="K2593" s="41"/>
      <c r="L2593" s="41"/>
      <c r="N2593" s="41"/>
      <c r="R2593" s="41"/>
      <c r="S2593" s="41"/>
      <c r="U2593" s="440"/>
      <c r="V2593" s="440"/>
    </row>
    <row r="2594" spans="1:22" x14ac:dyDescent="0.2">
      <c r="A2594" s="123"/>
      <c r="B2594" s="333"/>
      <c r="C2594" s="345"/>
      <c r="D2594" s="345"/>
      <c r="E2594" s="372"/>
      <c r="F2594" s="372"/>
      <c r="G2594" s="440"/>
      <c r="H2594" s="440"/>
      <c r="I2594" s="440"/>
      <c r="J2594" s="440"/>
      <c r="K2594" s="41"/>
      <c r="L2594" s="41"/>
      <c r="N2594" s="41"/>
      <c r="R2594" s="41"/>
      <c r="S2594" s="41"/>
      <c r="U2594" s="440"/>
      <c r="V2594" s="440"/>
    </row>
    <row r="2595" spans="1:22" x14ac:dyDescent="0.2">
      <c r="A2595" s="123"/>
      <c r="B2595" s="333"/>
      <c r="C2595" s="345"/>
      <c r="D2595" s="345"/>
      <c r="E2595" s="372"/>
      <c r="F2595" s="372"/>
      <c r="G2595" s="440"/>
      <c r="H2595" s="440"/>
      <c r="I2595" s="440"/>
      <c r="J2595" s="440"/>
      <c r="K2595" s="41"/>
      <c r="L2595" s="41"/>
      <c r="N2595" s="41"/>
      <c r="R2595" s="41"/>
      <c r="S2595" s="41"/>
      <c r="U2595" s="440"/>
      <c r="V2595" s="440"/>
    </row>
    <row r="2596" spans="1:22" x14ac:dyDescent="0.2">
      <c r="A2596" s="123"/>
      <c r="B2596" s="333"/>
      <c r="C2596" s="345"/>
      <c r="D2596" s="345"/>
      <c r="E2596" s="372"/>
      <c r="F2596" s="372"/>
      <c r="G2596" s="440"/>
      <c r="H2596" s="440"/>
      <c r="I2596" s="440"/>
      <c r="J2596" s="440"/>
      <c r="K2596" s="41"/>
      <c r="L2596" s="41"/>
      <c r="N2596" s="41"/>
      <c r="R2596" s="41"/>
      <c r="S2596" s="41"/>
      <c r="U2596" s="440"/>
      <c r="V2596" s="440"/>
    </row>
    <row r="2597" spans="1:22" x14ac:dyDescent="0.2">
      <c r="A2597" s="123"/>
      <c r="B2597" s="333"/>
      <c r="C2597" s="345"/>
      <c r="D2597" s="345"/>
      <c r="E2597" s="372"/>
      <c r="F2597" s="372"/>
      <c r="G2597" s="440"/>
      <c r="H2597" s="440"/>
      <c r="I2597" s="440"/>
      <c r="J2597" s="440"/>
      <c r="K2597" s="41"/>
      <c r="L2597" s="41"/>
      <c r="N2597" s="41"/>
      <c r="R2597" s="41"/>
      <c r="S2597" s="41"/>
      <c r="U2597" s="440"/>
      <c r="V2597" s="440"/>
    </row>
    <row r="2598" spans="1:22" x14ac:dyDescent="0.2">
      <c r="A2598" s="123"/>
      <c r="B2598" s="333"/>
      <c r="C2598" s="345"/>
      <c r="D2598" s="345"/>
      <c r="E2598" s="372"/>
      <c r="F2598" s="372"/>
      <c r="G2598" s="440"/>
      <c r="H2598" s="440"/>
      <c r="I2598" s="440"/>
      <c r="J2598" s="440"/>
      <c r="K2598" s="41"/>
      <c r="L2598" s="41"/>
      <c r="N2598" s="41"/>
      <c r="R2598" s="41"/>
      <c r="S2598" s="41"/>
      <c r="U2598" s="440"/>
      <c r="V2598" s="440"/>
    </row>
    <row r="2599" spans="1:22" x14ac:dyDescent="0.2">
      <c r="A2599" s="123"/>
      <c r="B2599" s="333"/>
      <c r="C2599" s="345"/>
      <c r="D2599" s="345"/>
      <c r="E2599" s="372"/>
      <c r="F2599" s="372"/>
      <c r="G2599" s="440"/>
      <c r="H2599" s="440"/>
      <c r="I2599" s="440"/>
      <c r="J2599" s="440"/>
      <c r="K2599" s="41"/>
      <c r="L2599" s="41"/>
      <c r="N2599" s="41"/>
      <c r="R2599" s="41"/>
      <c r="S2599" s="41"/>
      <c r="U2599" s="440"/>
      <c r="V2599" s="440"/>
    </row>
    <row r="2600" spans="1:22" x14ac:dyDescent="0.2">
      <c r="A2600" s="123"/>
      <c r="B2600" s="333"/>
      <c r="C2600" s="345"/>
      <c r="D2600" s="345"/>
      <c r="E2600" s="372"/>
      <c r="F2600" s="372"/>
      <c r="G2600" s="440"/>
      <c r="H2600" s="440"/>
      <c r="I2600" s="440"/>
      <c r="J2600" s="440"/>
      <c r="K2600" s="41"/>
      <c r="L2600" s="41"/>
      <c r="N2600" s="41"/>
      <c r="R2600" s="41"/>
      <c r="S2600" s="41"/>
      <c r="U2600" s="440"/>
      <c r="V2600" s="440"/>
    </row>
    <row r="2601" spans="1:22" x14ac:dyDescent="0.2">
      <c r="A2601" s="123"/>
      <c r="B2601" s="333"/>
      <c r="C2601" s="345"/>
      <c r="D2601" s="345"/>
      <c r="E2601" s="372"/>
      <c r="F2601" s="372"/>
      <c r="G2601" s="440"/>
      <c r="H2601" s="440"/>
      <c r="I2601" s="440"/>
      <c r="J2601" s="440"/>
      <c r="K2601" s="41"/>
      <c r="L2601" s="41"/>
      <c r="N2601" s="41"/>
      <c r="R2601" s="41"/>
      <c r="S2601" s="41"/>
      <c r="U2601" s="440"/>
      <c r="V2601" s="440"/>
    </row>
    <row r="2602" spans="1:22" x14ac:dyDescent="0.2">
      <c r="A2602" s="123"/>
      <c r="B2602" s="333"/>
      <c r="C2602" s="345"/>
      <c r="D2602" s="345"/>
      <c r="E2602" s="372"/>
      <c r="F2602" s="372"/>
      <c r="G2602" s="440"/>
      <c r="H2602" s="440"/>
      <c r="I2602" s="440"/>
      <c r="J2602" s="440"/>
      <c r="K2602" s="41"/>
      <c r="L2602" s="41"/>
      <c r="N2602" s="41"/>
      <c r="R2602" s="41"/>
      <c r="S2602" s="41"/>
      <c r="U2602" s="440"/>
      <c r="V2602" s="440"/>
    </row>
    <row r="2603" spans="1:22" x14ac:dyDescent="0.2">
      <c r="A2603" s="123"/>
      <c r="B2603" s="333"/>
      <c r="C2603" s="345"/>
      <c r="D2603" s="345"/>
      <c r="E2603" s="372"/>
      <c r="F2603" s="372"/>
      <c r="G2603" s="440"/>
      <c r="H2603" s="440"/>
      <c r="I2603" s="440"/>
      <c r="J2603" s="440"/>
      <c r="K2603" s="41"/>
      <c r="L2603" s="41"/>
      <c r="N2603" s="41"/>
      <c r="R2603" s="41"/>
      <c r="S2603" s="41"/>
      <c r="U2603" s="440"/>
      <c r="V2603" s="440"/>
    </row>
    <row r="2604" spans="1:22" x14ac:dyDescent="0.2">
      <c r="A2604" s="123"/>
      <c r="B2604" s="333"/>
      <c r="C2604" s="345"/>
      <c r="D2604" s="345"/>
      <c r="E2604" s="372"/>
      <c r="F2604" s="372"/>
      <c r="G2604" s="440"/>
      <c r="H2604" s="440"/>
      <c r="I2604" s="440"/>
      <c r="J2604" s="440"/>
      <c r="K2604" s="41"/>
      <c r="L2604" s="41"/>
      <c r="N2604" s="41"/>
      <c r="R2604" s="41"/>
      <c r="S2604" s="41"/>
      <c r="U2604" s="440"/>
      <c r="V2604" s="440"/>
    </row>
    <row r="2605" spans="1:22" x14ac:dyDescent="0.2">
      <c r="A2605" s="123"/>
      <c r="B2605" s="333"/>
      <c r="C2605" s="345"/>
      <c r="D2605" s="345"/>
      <c r="E2605" s="372"/>
      <c r="F2605" s="372"/>
      <c r="G2605" s="440"/>
      <c r="H2605" s="440"/>
      <c r="I2605" s="440"/>
      <c r="J2605" s="440"/>
      <c r="K2605" s="41"/>
      <c r="L2605" s="41"/>
      <c r="N2605" s="41"/>
      <c r="R2605" s="41"/>
      <c r="S2605" s="41"/>
      <c r="U2605" s="440"/>
      <c r="V2605" s="440"/>
    </row>
    <row r="2606" spans="1:22" x14ac:dyDescent="0.2">
      <c r="A2606" s="123"/>
      <c r="B2606" s="333"/>
      <c r="C2606" s="345"/>
      <c r="D2606" s="345"/>
      <c r="E2606" s="372"/>
      <c r="F2606" s="372"/>
      <c r="G2606" s="440"/>
      <c r="H2606" s="440"/>
      <c r="I2606" s="440"/>
      <c r="J2606" s="440"/>
      <c r="K2606" s="41"/>
      <c r="L2606" s="41"/>
      <c r="N2606" s="41"/>
      <c r="R2606" s="41"/>
      <c r="S2606" s="41"/>
      <c r="U2606" s="440"/>
      <c r="V2606" s="440"/>
    </row>
    <row r="2607" spans="1:22" x14ac:dyDescent="0.2">
      <c r="A2607" s="123"/>
      <c r="B2607" s="333"/>
      <c r="C2607" s="345"/>
      <c r="D2607" s="345"/>
      <c r="E2607" s="372"/>
      <c r="F2607" s="372"/>
      <c r="G2607" s="440"/>
      <c r="H2607" s="440"/>
      <c r="I2607" s="440"/>
      <c r="J2607" s="440"/>
      <c r="K2607" s="41"/>
      <c r="L2607" s="41"/>
      <c r="N2607" s="41"/>
      <c r="R2607" s="41"/>
      <c r="S2607" s="41"/>
      <c r="U2607" s="440"/>
      <c r="V2607" s="440"/>
    </row>
    <row r="2608" spans="1:22" x14ac:dyDescent="0.2">
      <c r="A2608" s="123"/>
      <c r="B2608" s="333"/>
      <c r="C2608" s="345"/>
      <c r="D2608" s="345"/>
      <c r="E2608" s="372"/>
      <c r="F2608" s="372"/>
      <c r="G2608" s="440"/>
      <c r="H2608" s="440"/>
      <c r="I2608" s="440"/>
      <c r="J2608" s="440"/>
      <c r="K2608" s="41"/>
      <c r="L2608" s="41"/>
      <c r="N2608" s="41"/>
      <c r="R2608" s="41"/>
      <c r="S2608" s="41"/>
      <c r="U2608" s="440"/>
      <c r="V2608" s="440"/>
    </row>
    <row r="2609" spans="1:22" x14ac:dyDescent="0.2">
      <c r="A2609" s="123"/>
      <c r="B2609" s="333"/>
      <c r="C2609" s="345"/>
      <c r="D2609" s="345"/>
      <c r="E2609" s="372"/>
      <c r="F2609" s="372"/>
      <c r="G2609" s="440"/>
      <c r="H2609" s="440"/>
      <c r="I2609" s="440"/>
      <c r="J2609" s="440"/>
      <c r="K2609" s="41"/>
      <c r="L2609" s="41"/>
      <c r="N2609" s="41"/>
      <c r="R2609" s="41"/>
      <c r="S2609" s="41"/>
      <c r="U2609" s="440"/>
      <c r="V2609" s="440"/>
    </row>
    <row r="2610" spans="1:22" x14ac:dyDescent="0.2">
      <c r="A2610" s="123"/>
      <c r="B2610" s="333"/>
      <c r="C2610" s="345"/>
      <c r="D2610" s="345"/>
      <c r="E2610" s="372"/>
      <c r="F2610" s="372"/>
      <c r="G2610" s="440"/>
      <c r="H2610" s="440"/>
      <c r="I2610" s="440"/>
      <c r="J2610" s="440"/>
      <c r="K2610" s="41"/>
      <c r="L2610" s="41"/>
      <c r="N2610" s="41"/>
      <c r="R2610" s="41"/>
      <c r="S2610" s="41"/>
      <c r="U2610" s="440"/>
      <c r="V2610" s="440"/>
    </row>
    <row r="2611" spans="1:22" x14ac:dyDescent="0.2">
      <c r="A2611" s="123"/>
      <c r="B2611" s="333"/>
      <c r="C2611" s="345"/>
      <c r="D2611" s="345"/>
      <c r="E2611" s="372"/>
      <c r="F2611" s="372"/>
      <c r="G2611" s="440"/>
      <c r="H2611" s="440"/>
      <c r="I2611" s="440"/>
      <c r="J2611" s="440"/>
      <c r="K2611" s="41"/>
      <c r="L2611" s="41"/>
      <c r="N2611" s="41"/>
      <c r="R2611" s="41"/>
      <c r="S2611" s="41"/>
      <c r="U2611" s="440"/>
      <c r="V2611" s="440"/>
    </row>
    <row r="2612" spans="1:22" x14ac:dyDescent="0.2">
      <c r="A2612" s="123"/>
      <c r="B2612" s="333"/>
      <c r="C2612" s="345"/>
      <c r="D2612" s="345"/>
      <c r="E2612" s="372"/>
      <c r="F2612" s="372"/>
      <c r="G2612" s="440"/>
      <c r="H2612" s="440"/>
      <c r="I2612" s="440"/>
      <c r="J2612" s="440"/>
      <c r="K2612" s="41"/>
      <c r="L2612" s="41"/>
      <c r="N2612" s="41"/>
      <c r="R2612" s="41"/>
      <c r="S2612" s="41"/>
      <c r="U2612" s="440"/>
      <c r="V2612" s="440"/>
    </row>
    <row r="2613" spans="1:22" x14ac:dyDescent="0.2">
      <c r="A2613" s="123"/>
      <c r="B2613" s="333"/>
      <c r="C2613" s="345"/>
      <c r="D2613" s="345"/>
      <c r="E2613" s="372"/>
      <c r="F2613" s="372"/>
      <c r="G2613" s="440"/>
      <c r="H2613" s="440"/>
      <c r="I2613" s="440"/>
      <c r="J2613" s="440"/>
      <c r="K2613" s="41"/>
      <c r="L2613" s="41"/>
      <c r="N2613" s="41"/>
      <c r="R2613" s="41"/>
      <c r="S2613" s="41"/>
      <c r="U2613" s="440"/>
      <c r="V2613" s="440"/>
    </row>
    <row r="2614" spans="1:22" x14ac:dyDescent="0.2">
      <c r="A2614" s="123"/>
      <c r="B2614" s="333"/>
      <c r="C2614" s="345"/>
      <c r="D2614" s="345"/>
      <c r="E2614" s="372"/>
      <c r="F2614" s="372"/>
      <c r="G2614" s="440"/>
      <c r="H2614" s="440"/>
      <c r="I2614" s="440"/>
      <c r="J2614" s="440"/>
      <c r="K2614" s="41"/>
      <c r="L2614" s="41"/>
      <c r="N2614" s="41"/>
      <c r="R2614" s="41"/>
      <c r="S2614" s="41"/>
      <c r="U2614" s="440"/>
      <c r="V2614" s="440"/>
    </row>
    <row r="2615" spans="1:22" x14ac:dyDescent="0.2">
      <c r="A2615" s="123"/>
      <c r="B2615" s="333"/>
      <c r="C2615" s="345"/>
      <c r="D2615" s="345"/>
      <c r="E2615" s="372"/>
      <c r="F2615" s="372"/>
      <c r="G2615" s="440"/>
      <c r="H2615" s="440"/>
      <c r="I2615" s="440"/>
      <c r="J2615" s="440"/>
      <c r="K2615" s="41"/>
      <c r="L2615" s="41"/>
      <c r="N2615" s="41"/>
      <c r="R2615" s="41"/>
      <c r="S2615" s="41"/>
      <c r="U2615" s="440"/>
      <c r="V2615" s="440"/>
    </row>
    <row r="2616" spans="1:22" x14ac:dyDescent="0.2">
      <c r="A2616" s="123"/>
      <c r="B2616" s="333"/>
      <c r="C2616" s="345"/>
      <c r="D2616" s="345"/>
      <c r="E2616" s="372"/>
      <c r="F2616" s="372"/>
      <c r="G2616" s="440"/>
      <c r="H2616" s="440"/>
      <c r="I2616" s="440"/>
      <c r="J2616" s="440"/>
      <c r="K2616" s="41"/>
      <c r="L2616" s="41"/>
      <c r="N2616" s="41"/>
      <c r="R2616" s="41"/>
      <c r="S2616" s="41"/>
      <c r="U2616" s="440"/>
      <c r="V2616" s="440"/>
    </row>
    <row r="2617" spans="1:22" x14ac:dyDescent="0.2">
      <c r="A2617" s="123"/>
      <c r="B2617" s="333"/>
      <c r="C2617" s="345"/>
      <c r="D2617" s="345"/>
      <c r="E2617" s="372"/>
      <c r="F2617" s="372"/>
      <c r="G2617" s="440"/>
      <c r="H2617" s="440"/>
      <c r="I2617" s="440"/>
      <c r="J2617" s="440"/>
      <c r="K2617" s="41"/>
      <c r="L2617" s="41"/>
      <c r="N2617" s="41"/>
      <c r="R2617" s="41"/>
      <c r="S2617" s="41"/>
      <c r="U2617" s="440"/>
      <c r="V2617" s="440"/>
    </row>
    <row r="2618" spans="1:22" x14ac:dyDescent="0.2">
      <c r="A2618" s="123"/>
      <c r="B2618" s="333"/>
      <c r="C2618" s="345"/>
      <c r="D2618" s="345"/>
      <c r="E2618" s="372"/>
      <c r="F2618" s="372"/>
      <c r="G2618" s="440"/>
      <c r="H2618" s="440"/>
      <c r="I2618" s="440"/>
      <c r="J2618" s="440"/>
      <c r="K2618" s="41"/>
      <c r="L2618" s="41"/>
      <c r="N2618" s="41"/>
      <c r="R2618" s="41"/>
      <c r="S2618" s="41"/>
      <c r="U2618" s="440"/>
      <c r="V2618" s="440"/>
    </row>
    <row r="2619" spans="1:22" x14ac:dyDescent="0.2">
      <c r="A2619" s="123"/>
      <c r="B2619" s="333"/>
      <c r="C2619" s="345"/>
      <c r="D2619" s="345"/>
      <c r="E2619" s="372"/>
      <c r="F2619" s="372"/>
      <c r="G2619" s="440"/>
      <c r="H2619" s="440"/>
      <c r="I2619" s="440"/>
      <c r="J2619" s="440"/>
      <c r="K2619" s="41"/>
      <c r="L2619" s="41"/>
      <c r="N2619" s="41"/>
      <c r="R2619" s="41"/>
      <c r="S2619" s="41"/>
      <c r="U2619" s="440"/>
      <c r="V2619" s="440"/>
    </row>
    <row r="2620" spans="1:22" x14ac:dyDescent="0.2">
      <c r="A2620" s="123"/>
      <c r="B2620" s="333"/>
      <c r="C2620" s="345"/>
      <c r="D2620" s="345"/>
      <c r="E2620" s="372"/>
      <c r="F2620" s="372"/>
      <c r="G2620" s="440"/>
      <c r="H2620" s="440"/>
      <c r="I2620" s="440"/>
      <c r="J2620" s="440"/>
      <c r="K2620" s="41"/>
      <c r="L2620" s="41"/>
      <c r="N2620" s="41"/>
      <c r="R2620" s="41"/>
      <c r="S2620" s="41"/>
      <c r="U2620" s="440"/>
      <c r="V2620" s="440"/>
    </row>
    <row r="2621" spans="1:22" x14ac:dyDescent="0.2">
      <c r="A2621" s="123"/>
      <c r="B2621" s="333"/>
      <c r="C2621" s="345"/>
      <c r="D2621" s="345"/>
      <c r="E2621" s="372"/>
      <c r="F2621" s="372"/>
      <c r="G2621" s="440"/>
      <c r="H2621" s="440"/>
      <c r="I2621" s="440"/>
      <c r="J2621" s="440"/>
      <c r="K2621" s="41"/>
      <c r="L2621" s="41"/>
      <c r="N2621" s="41"/>
      <c r="R2621" s="41"/>
      <c r="S2621" s="41"/>
      <c r="U2621" s="440"/>
      <c r="V2621" s="440"/>
    </row>
    <row r="2622" spans="1:22" x14ac:dyDescent="0.2">
      <c r="A2622" s="123"/>
      <c r="B2622" s="333"/>
      <c r="C2622" s="345"/>
      <c r="D2622" s="345"/>
      <c r="E2622" s="372"/>
      <c r="F2622" s="372"/>
      <c r="G2622" s="440"/>
      <c r="H2622" s="440"/>
      <c r="I2622" s="440"/>
      <c r="J2622" s="440"/>
      <c r="K2622" s="41"/>
      <c r="L2622" s="41"/>
      <c r="N2622" s="41"/>
      <c r="R2622" s="41"/>
      <c r="S2622" s="41"/>
      <c r="U2622" s="440"/>
      <c r="V2622" s="440"/>
    </row>
    <row r="2623" spans="1:22" x14ac:dyDescent="0.2">
      <c r="A2623" s="123"/>
      <c r="B2623" s="333"/>
      <c r="C2623" s="345"/>
      <c r="D2623" s="345"/>
      <c r="E2623" s="372"/>
      <c r="F2623" s="372"/>
      <c r="G2623" s="440"/>
      <c r="H2623" s="440"/>
      <c r="I2623" s="440"/>
      <c r="J2623" s="440"/>
      <c r="K2623" s="41"/>
      <c r="L2623" s="41"/>
      <c r="N2623" s="41"/>
      <c r="R2623" s="41"/>
      <c r="S2623" s="41"/>
      <c r="U2623" s="440"/>
      <c r="V2623" s="440"/>
    </row>
    <row r="2624" spans="1:22" x14ac:dyDescent="0.2">
      <c r="A2624" s="123"/>
      <c r="B2624" s="333"/>
      <c r="C2624" s="345"/>
      <c r="D2624" s="345"/>
      <c r="E2624" s="372"/>
      <c r="F2624" s="372"/>
      <c r="G2624" s="440"/>
      <c r="H2624" s="440"/>
      <c r="I2624" s="440"/>
      <c r="J2624" s="440"/>
      <c r="K2624" s="41"/>
      <c r="L2624" s="41"/>
      <c r="N2624" s="41"/>
      <c r="R2624" s="41"/>
      <c r="S2624" s="41"/>
      <c r="U2624" s="440"/>
      <c r="V2624" s="440"/>
    </row>
    <row r="2625" spans="1:22" x14ac:dyDescent="0.2">
      <c r="A2625" s="123"/>
      <c r="B2625" s="333"/>
      <c r="C2625" s="345"/>
      <c r="D2625" s="345"/>
      <c r="E2625" s="372"/>
      <c r="F2625" s="372"/>
      <c r="G2625" s="440"/>
      <c r="H2625" s="440"/>
      <c r="I2625" s="440"/>
      <c r="J2625" s="440"/>
      <c r="K2625" s="41"/>
      <c r="L2625" s="41"/>
      <c r="N2625" s="41"/>
      <c r="R2625" s="41"/>
      <c r="S2625" s="41"/>
      <c r="U2625" s="440"/>
      <c r="V2625" s="440"/>
    </row>
    <row r="2626" spans="1:22" x14ac:dyDescent="0.2">
      <c r="A2626" s="123"/>
      <c r="B2626" s="333"/>
      <c r="C2626" s="345"/>
      <c r="D2626" s="345"/>
      <c r="E2626" s="372"/>
      <c r="F2626" s="372"/>
      <c r="G2626" s="440"/>
      <c r="H2626" s="440"/>
      <c r="I2626" s="440"/>
      <c r="J2626" s="440"/>
      <c r="K2626" s="41"/>
      <c r="L2626" s="41"/>
      <c r="N2626" s="41"/>
      <c r="R2626" s="41"/>
      <c r="S2626" s="41"/>
      <c r="U2626" s="440"/>
      <c r="V2626" s="440"/>
    </row>
    <row r="2627" spans="1:22" x14ac:dyDescent="0.2">
      <c r="A2627" s="123"/>
      <c r="B2627" s="333"/>
      <c r="C2627" s="345"/>
      <c r="D2627" s="345"/>
      <c r="E2627" s="372"/>
      <c r="F2627" s="372"/>
      <c r="G2627" s="440"/>
      <c r="H2627" s="440"/>
      <c r="I2627" s="440"/>
      <c r="J2627" s="440"/>
      <c r="K2627" s="41"/>
      <c r="L2627" s="41"/>
      <c r="N2627" s="41"/>
      <c r="R2627" s="41"/>
      <c r="S2627" s="41"/>
      <c r="U2627" s="440"/>
      <c r="V2627" s="440"/>
    </row>
    <row r="2628" spans="1:22" x14ac:dyDescent="0.2">
      <c r="A2628" s="123"/>
      <c r="B2628" s="333"/>
      <c r="C2628" s="345"/>
      <c r="D2628" s="345"/>
      <c r="E2628" s="372"/>
      <c r="F2628" s="372"/>
      <c r="G2628" s="440"/>
      <c r="H2628" s="440"/>
      <c r="I2628" s="440"/>
      <c r="J2628" s="440"/>
      <c r="K2628" s="41"/>
      <c r="L2628" s="41"/>
      <c r="N2628" s="41"/>
      <c r="R2628" s="41"/>
      <c r="S2628" s="41"/>
      <c r="U2628" s="440"/>
      <c r="V2628" s="440"/>
    </row>
    <row r="2629" spans="1:22" x14ac:dyDescent="0.2">
      <c r="A2629" s="123"/>
      <c r="B2629" s="333"/>
      <c r="C2629" s="345"/>
      <c r="D2629" s="345"/>
      <c r="E2629" s="372"/>
      <c r="F2629" s="372"/>
      <c r="G2629" s="440"/>
      <c r="H2629" s="440"/>
      <c r="I2629" s="440"/>
      <c r="J2629" s="440"/>
      <c r="K2629" s="41"/>
      <c r="L2629" s="41"/>
      <c r="N2629" s="41"/>
      <c r="R2629" s="41"/>
      <c r="S2629" s="41"/>
      <c r="U2629" s="440"/>
      <c r="V2629" s="440"/>
    </row>
    <row r="2630" spans="1:22" x14ac:dyDescent="0.2">
      <c r="A2630" s="123"/>
      <c r="B2630" s="333"/>
      <c r="C2630" s="345"/>
      <c r="D2630" s="345"/>
      <c r="E2630" s="372"/>
      <c r="F2630" s="372"/>
      <c r="G2630" s="440"/>
      <c r="H2630" s="440"/>
      <c r="I2630" s="440"/>
      <c r="J2630" s="440"/>
      <c r="K2630" s="41"/>
      <c r="L2630" s="41"/>
      <c r="N2630" s="41"/>
      <c r="R2630" s="41"/>
      <c r="S2630" s="41"/>
      <c r="U2630" s="440"/>
      <c r="V2630" s="440"/>
    </row>
    <row r="2631" spans="1:22" x14ac:dyDescent="0.2">
      <c r="A2631" s="123"/>
      <c r="B2631" s="333"/>
      <c r="C2631" s="345"/>
      <c r="D2631" s="345"/>
      <c r="E2631" s="372"/>
      <c r="F2631" s="372"/>
      <c r="G2631" s="440"/>
      <c r="H2631" s="440"/>
      <c r="I2631" s="440"/>
      <c r="J2631" s="440"/>
      <c r="K2631" s="41"/>
      <c r="L2631" s="41"/>
      <c r="N2631" s="41"/>
      <c r="R2631" s="41"/>
      <c r="S2631" s="41"/>
      <c r="U2631" s="440"/>
      <c r="V2631" s="440"/>
    </row>
    <row r="2632" spans="1:22" x14ac:dyDescent="0.2">
      <c r="A2632" s="123"/>
      <c r="B2632" s="333"/>
      <c r="C2632" s="345"/>
      <c r="D2632" s="345"/>
      <c r="E2632" s="372"/>
      <c r="F2632" s="372"/>
      <c r="G2632" s="440"/>
      <c r="H2632" s="440"/>
      <c r="I2632" s="440"/>
      <c r="J2632" s="440"/>
      <c r="K2632" s="41"/>
      <c r="L2632" s="41"/>
      <c r="N2632" s="41"/>
      <c r="R2632" s="41"/>
      <c r="S2632" s="41"/>
      <c r="U2632" s="440"/>
      <c r="V2632" s="440"/>
    </row>
    <row r="2633" spans="1:22" x14ac:dyDescent="0.2">
      <c r="A2633" s="123"/>
      <c r="B2633" s="333"/>
      <c r="C2633" s="345"/>
      <c r="D2633" s="345"/>
      <c r="E2633" s="372"/>
      <c r="F2633" s="372"/>
      <c r="G2633" s="440"/>
      <c r="H2633" s="440"/>
      <c r="I2633" s="440"/>
      <c r="J2633" s="440"/>
      <c r="K2633" s="41"/>
      <c r="L2633" s="41"/>
      <c r="N2633" s="41"/>
      <c r="R2633" s="41"/>
      <c r="S2633" s="41"/>
      <c r="U2633" s="440"/>
      <c r="V2633" s="440"/>
    </row>
    <row r="2634" spans="1:22" x14ac:dyDescent="0.2">
      <c r="A2634" s="123"/>
      <c r="B2634" s="333"/>
      <c r="C2634" s="345"/>
      <c r="D2634" s="345"/>
      <c r="E2634" s="372"/>
      <c r="F2634" s="372"/>
      <c r="G2634" s="440"/>
      <c r="H2634" s="440"/>
      <c r="I2634" s="440"/>
      <c r="J2634" s="440"/>
      <c r="K2634" s="41"/>
      <c r="L2634" s="41"/>
      <c r="N2634" s="41"/>
      <c r="R2634" s="41"/>
      <c r="S2634" s="41"/>
      <c r="U2634" s="440"/>
      <c r="V2634" s="440"/>
    </row>
    <row r="2635" spans="1:22" x14ac:dyDescent="0.2">
      <c r="A2635" s="123"/>
      <c r="B2635" s="333"/>
      <c r="C2635" s="345"/>
      <c r="D2635" s="345"/>
      <c r="E2635" s="372"/>
      <c r="F2635" s="372"/>
      <c r="G2635" s="440"/>
      <c r="H2635" s="440"/>
      <c r="I2635" s="440"/>
      <c r="J2635" s="440"/>
      <c r="K2635" s="41"/>
      <c r="L2635" s="41"/>
      <c r="N2635" s="41"/>
      <c r="R2635" s="41"/>
      <c r="S2635" s="41"/>
      <c r="U2635" s="440"/>
      <c r="V2635" s="440"/>
    </row>
    <row r="2636" spans="1:22" x14ac:dyDescent="0.2">
      <c r="A2636" s="123"/>
      <c r="B2636" s="333"/>
      <c r="C2636" s="345"/>
      <c r="D2636" s="345"/>
      <c r="E2636" s="372"/>
      <c r="F2636" s="372"/>
      <c r="G2636" s="440"/>
      <c r="H2636" s="440"/>
      <c r="I2636" s="440"/>
      <c r="J2636" s="440"/>
      <c r="K2636" s="41"/>
      <c r="L2636" s="41"/>
      <c r="N2636" s="41"/>
      <c r="R2636" s="41"/>
      <c r="S2636" s="41"/>
      <c r="U2636" s="440"/>
      <c r="V2636" s="440"/>
    </row>
    <row r="2637" spans="1:22" x14ac:dyDescent="0.2">
      <c r="A2637" s="123"/>
      <c r="B2637" s="333"/>
      <c r="C2637" s="345"/>
      <c r="D2637" s="345"/>
      <c r="E2637" s="372"/>
      <c r="F2637" s="372"/>
      <c r="G2637" s="440"/>
      <c r="H2637" s="440"/>
      <c r="I2637" s="440"/>
      <c r="J2637" s="440"/>
      <c r="K2637" s="41"/>
      <c r="L2637" s="41"/>
      <c r="N2637" s="41"/>
      <c r="R2637" s="41"/>
      <c r="S2637" s="41"/>
      <c r="U2637" s="440"/>
      <c r="V2637" s="440"/>
    </row>
    <row r="2638" spans="1:22" x14ac:dyDescent="0.2">
      <c r="A2638" s="123"/>
      <c r="B2638" s="333"/>
      <c r="C2638" s="345"/>
      <c r="D2638" s="345"/>
      <c r="E2638" s="372"/>
      <c r="F2638" s="372"/>
      <c r="G2638" s="440"/>
      <c r="H2638" s="440"/>
      <c r="I2638" s="440"/>
      <c r="J2638" s="440"/>
      <c r="K2638" s="41"/>
      <c r="L2638" s="41"/>
      <c r="N2638" s="41"/>
      <c r="R2638" s="41"/>
      <c r="S2638" s="41"/>
      <c r="U2638" s="440"/>
      <c r="V2638" s="440"/>
    </row>
    <row r="2639" spans="1:22" x14ac:dyDescent="0.2">
      <c r="A2639" s="123"/>
      <c r="B2639" s="333"/>
      <c r="C2639" s="345"/>
      <c r="D2639" s="345"/>
      <c r="E2639" s="372"/>
      <c r="F2639" s="372"/>
      <c r="G2639" s="440"/>
      <c r="H2639" s="440"/>
      <c r="I2639" s="440"/>
      <c r="J2639" s="440"/>
      <c r="K2639" s="41"/>
      <c r="L2639" s="41"/>
      <c r="N2639" s="41"/>
      <c r="R2639" s="41"/>
      <c r="S2639" s="41"/>
      <c r="U2639" s="440"/>
      <c r="V2639" s="440"/>
    </row>
    <row r="2640" spans="1:22" x14ac:dyDescent="0.2">
      <c r="A2640" s="123"/>
      <c r="B2640" s="333"/>
      <c r="C2640" s="345"/>
      <c r="D2640" s="345"/>
      <c r="E2640" s="372"/>
      <c r="F2640" s="372"/>
      <c r="G2640" s="440"/>
      <c r="H2640" s="440"/>
      <c r="I2640" s="440"/>
      <c r="J2640" s="440"/>
      <c r="K2640" s="41"/>
      <c r="L2640" s="41"/>
      <c r="N2640" s="41"/>
      <c r="R2640" s="41"/>
      <c r="S2640" s="41"/>
      <c r="U2640" s="440"/>
      <c r="V2640" s="440"/>
    </row>
    <row r="2641" spans="1:22" x14ac:dyDescent="0.2">
      <c r="A2641" s="123"/>
      <c r="B2641" s="333"/>
      <c r="C2641" s="345"/>
      <c r="D2641" s="345"/>
      <c r="E2641" s="372"/>
      <c r="F2641" s="372"/>
      <c r="G2641" s="440"/>
      <c r="H2641" s="440"/>
      <c r="I2641" s="440"/>
      <c r="J2641" s="440"/>
      <c r="K2641" s="41"/>
      <c r="L2641" s="41"/>
      <c r="N2641" s="41"/>
      <c r="R2641" s="41"/>
      <c r="S2641" s="41"/>
      <c r="U2641" s="440"/>
      <c r="V2641" s="440"/>
    </row>
    <row r="2642" spans="1:22" x14ac:dyDescent="0.2">
      <c r="A2642" s="123"/>
      <c r="B2642" s="333"/>
      <c r="C2642" s="345"/>
      <c r="D2642" s="345"/>
      <c r="E2642" s="372"/>
      <c r="F2642" s="372"/>
      <c r="G2642" s="440"/>
      <c r="H2642" s="440"/>
      <c r="I2642" s="440"/>
      <c r="J2642" s="440"/>
      <c r="K2642" s="41"/>
      <c r="L2642" s="41"/>
      <c r="N2642" s="41"/>
      <c r="R2642" s="41"/>
      <c r="S2642" s="41"/>
      <c r="U2642" s="440"/>
      <c r="V2642" s="440"/>
    </row>
    <row r="2643" spans="1:22" x14ac:dyDescent="0.2">
      <c r="A2643" s="123"/>
      <c r="B2643" s="333"/>
      <c r="C2643" s="345"/>
      <c r="D2643" s="345"/>
      <c r="E2643" s="372"/>
      <c r="F2643" s="372"/>
      <c r="G2643" s="440"/>
      <c r="H2643" s="440"/>
      <c r="I2643" s="440"/>
      <c r="J2643" s="440"/>
      <c r="K2643" s="41"/>
      <c r="L2643" s="41"/>
      <c r="N2643" s="41"/>
      <c r="R2643" s="41"/>
      <c r="S2643" s="41"/>
      <c r="U2643" s="440"/>
      <c r="V2643" s="440"/>
    </row>
    <row r="2644" spans="1:22" x14ac:dyDescent="0.2">
      <c r="A2644" s="123"/>
      <c r="B2644" s="333"/>
      <c r="C2644" s="345"/>
      <c r="D2644" s="345"/>
      <c r="E2644" s="372"/>
      <c r="F2644" s="372"/>
      <c r="G2644" s="440"/>
      <c r="H2644" s="440"/>
      <c r="I2644" s="440"/>
      <c r="J2644" s="440"/>
      <c r="K2644" s="41"/>
      <c r="L2644" s="41"/>
      <c r="N2644" s="41"/>
      <c r="R2644" s="41"/>
      <c r="S2644" s="41"/>
      <c r="U2644" s="440"/>
      <c r="V2644" s="440"/>
    </row>
    <row r="2645" spans="1:22" x14ac:dyDescent="0.2">
      <c r="A2645" s="123"/>
      <c r="B2645" s="333"/>
      <c r="C2645" s="345"/>
      <c r="D2645" s="345"/>
      <c r="E2645" s="372"/>
      <c r="F2645" s="372"/>
      <c r="G2645" s="440"/>
      <c r="H2645" s="440"/>
      <c r="I2645" s="440"/>
      <c r="J2645" s="440"/>
      <c r="K2645" s="41"/>
      <c r="L2645" s="41"/>
      <c r="N2645" s="41"/>
      <c r="R2645" s="41"/>
      <c r="S2645" s="41"/>
      <c r="U2645" s="440"/>
      <c r="V2645" s="440"/>
    </row>
    <row r="2646" spans="1:22" x14ac:dyDescent="0.2">
      <c r="A2646" s="123"/>
      <c r="B2646" s="333"/>
      <c r="C2646" s="345"/>
      <c r="D2646" s="345"/>
      <c r="E2646" s="372"/>
      <c r="F2646" s="372"/>
      <c r="G2646" s="440"/>
      <c r="H2646" s="440"/>
      <c r="I2646" s="440"/>
      <c r="J2646" s="440"/>
      <c r="K2646" s="41"/>
      <c r="L2646" s="41"/>
      <c r="N2646" s="41"/>
      <c r="R2646" s="41"/>
      <c r="S2646" s="41"/>
      <c r="U2646" s="440"/>
      <c r="V2646" s="440"/>
    </row>
    <row r="2647" spans="1:22" x14ac:dyDescent="0.2">
      <c r="A2647" s="123"/>
      <c r="B2647" s="333"/>
      <c r="C2647" s="345"/>
      <c r="D2647" s="345"/>
      <c r="E2647" s="372"/>
      <c r="F2647" s="372"/>
      <c r="G2647" s="440"/>
      <c r="H2647" s="440"/>
      <c r="I2647" s="440"/>
      <c r="J2647" s="440"/>
      <c r="K2647" s="41"/>
      <c r="L2647" s="41"/>
      <c r="N2647" s="41"/>
      <c r="R2647" s="41"/>
      <c r="S2647" s="41"/>
      <c r="U2647" s="440"/>
      <c r="V2647" s="440"/>
    </row>
    <row r="2648" spans="1:22" x14ac:dyDescent="0.2">
      <c r="A2648" s="123"/>
      <c r="B2648" s="333"/>
      <c r="C2648" s="345"/>
      <c r="D2648" s="345"/>
      <c r="E2648" s="372"/>
      <c r="F2648" s="372"/>
      <c r="G2648" s="440"/>
      <c r="H2648" s="440"/>
      <c r="I2648" s="440"/>
      <c r="J2648" s="440"/>
      <c r="K2648" s="41"/>
      <c r="L2648" s="41"/>
      <c r="N2648" s="41"/>
      <c r="R2648" s="41"/>
      <c r="S2648" s="41"/>
      <c r="U2648" s="440"/>
      <c r="V2648" s="440"/>
    </row>
    <row r="2649" spans="1:22" x14ac:dyDescent="0.2">
      <c r="A2649" s="123"/>
      <c r="B2649" s="333"/>
      <c r="C2649" s="345"/>
      <c r="D2649" s="345"/>
      <c r="E2649" s="372"/>
      <c r="F2649" s="372"/>
      <c r="G2649" s="440"/>
      <c r="H2649" s="440"/>
      <c r="I2649" s="440"/>
      <c r="J2649" s="440"/>
      <c r="K2649" s="41"/>
      <c r="L2649" s="41"/>
      <c r="N2649" s="41"/>
      <c r="R2649" s="41"/>
      <c r="S2649" s="41"/>
      <c r="U2649" s="440"/>
      <c r="V2649" s="440"/>
    </row>
    <row r="2650" spans="1:22" x14ac:dyDescent="0.2">
      <c r="A2650" s="123"/>
      <c r="B2650" s="333"/>
      <c r="C2650" s="345"/>
      <c r="D2650" s="345"/>
      <c r="E2650" s="372"/>
      <c r="F2650" s="372"/>
      <c r="G2650" s="440"/>
      <c r="H2650" s="440"/>
      <c r="I2650" s="440"/>
      <c r="J2650" s="440"/>
      <c r="K2650" s="41"/>
      <c r="L2650" s="41"/>
      <c r="N2650" s="41"/>
      <c r="R2650" s="41"/>
      <c r="S2650" s="41"/>
      <c r="U2650" s="440"/>
      <c r="V2650" s="440"/>
    </row>
    <row r="2651" spans="1:22" x14ac:dyDescent="0.2">
      <c r="A2651" s="123"/>
      <c r="B2651" s="333"/>
      <c r="C2651" s="345"/>
      <c r="D2651" s="345"/>
      <c r="E2651" s="372"/>
      <c r="F2651" s="372"/>
      <c r="G2651" s="440"/>
      <c r="H2651" s="440"/>
      <c r="I2651" s="440"/>
      <c r="J2651" s="440"/>
      <c r="K2651" s="41"/>
      <c r="L2651" s="41"/>
      <c r="N2651" s="41"/>
      <c r="R2651" s="41"/>
      <c r="S2651" s="41"/>
      <c r="U2651" s="440"/>
      <c r="V2651" s="440"/>
    </row>
    <row r="2652" spans="1:22" x14ac:dyDescent="0.2">
      <c r="A2652" s="123"/>
      <c r="B2652" s="333"/>
      <c r="C2652" s="345"/>
      <c r="D2652" s="345"/>
      <c r="E2652" s="372"/>
      <c r="F2652" s="372"/>
      <c r="G2652" s="440"/>
      <c r="H2652" s="440"/>
      <c r="I2652" s="440"/>
      <c r="J2652" s="440"/>
      <c r="K2652" s="41"/>
      <c r="L2652" s="41"/>
      <c r="N2652" s="41"/>
      <c r="R2652" s="41"/>
      <c r="S2652" s="41"/>
      <c r="U2652" s="440"/>
      <c r="V2652" s="440"/>
    </row>
    <row r="2653" spans="1:22" x14ac:dyDescent="0.2">
      <c r="A2653" s="123"/>
      <c r="B2653" s="333"/>
      <c r="C2653" s="345"/>
      <c r="D2653" s="345"/>
      <c r="E2653" s="372"/>
      <c r="F2653" s="372"/>
      <c r="G2653" s="440"/>
      <c r="H2653" s="440"/>
      <c r="I2653" s="440"/>
      <c r="J2653" s="440"/>
      <c r="K2653" s="41"/>
      <c r="L2653" s="41"/>
      <c r="N2653" s="41"/>
      <c r="R2653" s="41"/>
      <c r="S2653" s="41"/>
      <c r="U2653" s="440"/>
      <c r="V2653" s="440"/>
    </row>
    <row r="2654" spans="1:22" x14ac:dyDescent="0.2">
      <c r="A2654" s="123"/>
      <c r="B2654" s="333"/>
      <c r="C2654" s="345"/>
      <c r="D2654" s="345"/>
      <c r="E2654" s="372"/>
      <c r="F2654" s="372"/>
      <c r="G2654" s="440"/>
      <c r="H2654" s="440"/>
      <c r="I2654" s="440"/>
      <c r="J2654" s="440"/>
      <c r="K2654" s="41"/>
      <c r="L2654" s="41"/>
      <c r="N2654" s="41"/>
      <c r="R2654" s="41"/>
      <c r="S2654" s="41"/>
      <c r="U2654" s="440"/>
      <c r="V2654" s="440"/>
    </row>
    <row r="2655" spans="1:22" x14ac:dyDescent="0.2">
      <c r="A2655" s="123"/>
      <c r="B2655" s="333"/>
      <c r="C2655" s="345"/>
      <c r="D2655" s="345"/>
      <c r="E2655" s="372"/>
      <c r="F2655" s="372"/>
      <c r="G2655" s="440"/>
      <c r="H2655" s="440"/>
      <c r="I2655" s="440"/>
      <c r="J2655" s="440"/>
      <c r="K2655" s="41"/>
      <c r="L2655" s="41"/>
      <c r="N2655" s="41"/>
      <c r="R2655" s="41"/>
      <c r="S2655" s="41"/>
      <c r="U2655" s="440"/>
      <c r="V2655" s="440"/>
    </row>
    <row r="2656" spans="1:22" x14ac:dyDescent="0.2">
      <c r="A2656" s="123"/>
      <c r="B2656" s="333"/>
      <c r="C2656" s="345"/>
      <c r="D2656" s="345"/>
      <c r="E2656" s="372"/>
      <c r="F2656" s="372"/>
      <c r="G2656" s="440"/>
      <c r="H2656" s="440"/>
      <c r="I2656" s="440"/>
      <c r="J2656" s="440"/>
      <c r="K2656" s="41"/>
      <c r="L2656" s="41"/>
      <c r="N2656" s="41"/>
      <c r="R2656" s="41"/>
      <c r="S2656" s="41"/>
      <c r="U2656" s="440"/>
      <c r="V2656" s="440"/>
    </row>
    <row r="2657" spans="1:22" x14ac:dyDescent="0.2">
      <c r="A2657" s="123"/>
      <c r="B2657" s="333"/>
      <c r="C2657" s="345"/>
      <c r="D2657" s="345"/>
      <c r="E2657" s="372"/>
      <c r="F2657" s="372"/>
      <c r="G2657" s="440"/>
      <c r="H2657" s="440"/>
      <c r="I2657" s="440"/>
      <c r="J2657" s="440"/>
      <c r="K2657" s="41"/>
      <c r="L2657" s="41"/>
      <c r="N2657" s="41"/>
      <c r="R2657" s="41"/>
      <c r="S2657" s="41"/>
      <c r="U2657" s="440"/>
      <c r="V2657" s="440"/>
    </row>
    <row r="2658" spans="1:22" x14ac:dyDescent="0.2">
      <c r="A2658" s="123"/>
      <c r="B2658" s="333"/>
      <c r="C2658" s="345"/>
      <c r="D2658" s="345"/>
      <c r="E2658" s="372"/>
      <c r="F2658" s="372"/>
      <c r="G2658" s="440"/>
      <c r="H2658" s="440"/>
      <c r="I2658" s="440"/>
      <c r="J2658" s="440"/>
      <c r="K2658" s="41"/>
      <c r="L2658" s="41"/>
      <c r="N2658" s="41"/>
      <c r="R2658" s="41"/>
      <c r="S2658" s="41"/>
      <c r="U2658" s="440"/>
      <c r="V2658" s="440"/>
    </row>
    <row r="2659" spans="1:22" x14ac:dyDescent="0.2">
      <c r="A2659" s="123"/>
      <c r="B2659" s="333"/>
      <c r="C2659" s="345"/>
      <c r="D2659" s="345"/>
      <c r="E2659" s="372"/>
      <c r="F2659" s="372"/>
      <c r="G2659" s="440"/>
      <c r="H2659" s="440"/>
      <c r="I2659" s="440"/>
      <c r="J2659" s="440"/>
      <c r="K2659" s="41"/>
      <c r="L2659" s="41"/>
      <c r="N2659" s="41"/>
      <c r="R2659" s="41"/>
      <c r="S2659" s="41"/>
      <c r="U2659" s="440"/>
      <c r="V2659" s="440"/>
    </row>
    <row r="2660" spans="1:22" x14ac:dyDescent="0.2">
      <c r="A2660" s="123"/>
      <c r="B2660" s="333"/>
      <c r="C2660" s="345"/>
      <c r="D2660" s="345"/>
      <c r="E2660" s="372"/>
      <c r="F2660" s="372"/>
      <c r="G2660" s="440"/>
      <c r="H2660" s="440"/>
      <c r="I2660" s="440"/>
      <c r="J2660" s="440"/>
      <c r="K2660" s="41"/>
      <c r="L2660" s="41"/>
      <c r="N2660" s="41"/>
      <c r="R2660" s="41"/>
      <c r="S2660" s="41"/>
      <c r="U2660" s="440"/>
      <c r="V2660" s="440"/>
    </row>
    <row r="2661" spans="1:22" x14ac:dyDescent="0.2">
      <c r="A2661" s="123"/>
      <c r="B2661" s="333"/>
      <c r="C2661" s="345"/>
      <c r="D2661" s="345"/>
      <c r="E2661" s="372"/>
      <c r="F2661" s="372"/>
      <c r="G2661" s="440"/>
      <c r="H2661" s="440"/>
      <c r="I2661" s="440"/>
      <c r="J2661" s="440"/>
      <c r="K2661" s="41"/>
      <c r="L2661" s="41"/>
      <c r="N2661" s="41"/>
      <c r="R2661" s="41"/>
      <c r="S2661" s="41"/>
      <c r="U2661" s="440"/>
      <c r="V2661" s="440"/>
    </row>
    <row r="2662" spans="1:22" x14ac:dyDescent="0.2">
      <c r="A2662" s="123"/>
      <c r="B2662" s="333"/>
      <c r="C2662" s="345"/>
      <c r="D2662" s="345"/>
      <c r="E2662" s="372"/>
      <c r="F2662" s="372"/>
      <c r="G2662" s="440"/>
      <c r="H2662" s="440"/>
      <c r="I2662" s="440"/>
      <c r="J2662" s="440"/>
      <c r="K2662" s="41"/>
      <c r="L2662" s="41"/>
      <c r="N2662" s="41"/>
      <c r="R2662" s="41"/>
      <c r="S2662" s="41"/>
      <c r="U2662" s="440"/>
      <c r="V2662" s="440"/>
    </row>
    <row r="2663" spans="1:22" x14ac:dyDescent="0.2">
      <c r="A2663" s="123"/>
      <c r="B2663" s="333"/>
      <c r="C2663" s="345"/>
      <c r="D2663" s="345"/>
      <c r="E2663" s="372"/>
      <c r="F2663" s="372"/>
      <c r="G2663" s="440"/>
      <c r="H2663" s="440"/>
      <c r="I2663" s="440"/>
      <c r="J2663" s="440"/>
      <c r="K2663" s="41"/>
      <c r="L2663" s="41"/>
      <c r="N2663" s="41"/>
      <c r="R2663" s="41"/>
      <c r="S2663" s="41"/>
      <c r="U2663" s="440"/>
      <c r="V2663" s="440"/>
    </row>
    <row r="2664" spans="1:22" x14ac:dyDescent="0.2">
      <c r="A2664" s="123"/>
      <c r="B2664" s="333"/>
      <c r="C2664" s="345"/>
      <c r="D2664" s="345"/>
      <c r="E2664" s="372"/>
      <c r="F2664" s="372"/>
      <c r="G2664" s="440"/>
      <c r="H2664" s="440"/>
      <c r="I2664" s="440"/>
      <c r="J2664" s="440"/>
      <c r="K2664" s="41"/>
      <c r="L2664" s="41"/>
      <c r="N2664" s="41"/>
      <c r="R2664" s="41"/>
      <c r="S2664" s="41"/>
      <c r="U2664" s="440"/>
      <c r="V2664" s="440"/>
    </row>
    <row r="2665" spans="1:22" x14ac:dyDescent="0.2">
      <c r="A2665" s="123"/>
      <c r="B2665" s="333"/>
      <c r="C2665" s="345"/>
      <c r="D2665" s="345"/>
      <c r="E2665" s="372"/>
      <c r="F2665" s="372"/>
      <c r="G2665" s="440"/>
      <c r="H2665" s="440"/>
      <c r="I2665" s="440"/>
      <c r="J2665" s="440"/>
      <c r="K2665" s="41"/>
      <c r="L2665" s="41"/>
      <c r="N2665" s="41"/>
      <c r="R2665" s="41"/>
      <c r="S2665" s="41"/>
      <c r="U2665" s="440"/>
      <c r="V2665" s="440"/>
    </row>
    <row r="2666" spans="1:22" x14ac:dyDescent="0.2">
      <c r="A2666" s="123"/>
      <c r="B2666" s="333"/>
      <c r="C2666" s="345"/>
      <c r="D2666" s="345"/>
      <c r="E2666" s="372"/>
      <c r="F2666" s="372"/>
      <c r="G2666" s="440"/>
      <c r="H2666" s="440"/>
      <c r="I2666" s="440"/>
      <c r="J2666" s="440"/>
      <c r="K2666" s="41"/>
      <c r="L2666" s="41"/>
      <c r="N2666" s="41"/>
      <c r="R2666" s="41"/>
      <c r="S2666" s="41"/>
      <c r="U2666" s="440"/>
      <c r="V2666" s="440"/>
    </row>
    <row r="2667" spans="1:22" x14ac:dyDescent="0.2">
      <c r="A2667" s="123"/>
      <c r="B2667" s="333"/>
      <c r="C2667" s="345"/>
      <c r="D2667" s="345"/>
      <c r="E2667" s="372"/>
      <c r="F2667" s="372"/>
      <c r="G2667" s="440"/>
      <c r="H2667" s="440"/>
      <c r="I2667" s="440"/>
      <c r="J2667" s="440"/>
      <c r="K2667" s="41"/>
      <c r="L2667" s="41"/>
      <c r="N2667" s="41"/>
      <c r="R2667" s="41"/>
      <c r="S2667" s="41"/>
      <c r="U2667" s="440"/>
      <c r="V2667" s="440"/>
    </row>
    <row r="2668" spans="1:22" x14ac:dyDescent="0.2">
      <c r="A2668" s="123"/>
      <c r="B2668" s="333"/>
      <c r="C2668" s="345"/>
      <c r="D2668" s="345"/>
      <c r="E2668" s="372"/>
      <c r="F2668" s="372"/>
      <c r="G2668" s="440"/>
      <c r="H2668" s="440"/>
      <c r="I2668" s="440"/>
      <c r="J2668" s="440"/>
      <c r="K2668" s="41"/>
      <c r="L2668" s="41"/>
      <c r="N2668" s="41"/>
      <c r="R2668" s="41"/>
      <c r="S2668" s="41"/>
      <c r="U2668" s="440"/>
      <c r="V2668" s="440"/>
    </row>
    <row r="2669" spans="1:22" x14ac:dyDescent="0.2">
      <c r="A2669" s="123"/>
      <c r="B2669" s="333"/>
      <c r="C2669" s="345"/>
      <c r="D2669" s="345"/>
      <c r="E2669" s="372"/>
      <c r="F2669" s="372"/>
      <c r="G2669" s="440"/>
      <c r="H2669" s="440"/>
      <c r="I2669" s="440"/>
      <c r="J2669" s="440"/>
      <c r="K2669" s="41"/>
      <c r="L2669" s="41"/>
      <c r="N2669" s="41"/>
      <c r="R2669" s="41"/>
      <c r="S2669" s="41"/>
      <c r="U2669" s="440"/>
      <c r="V2669" s="440"/>
    </row>
    <row r="2670" spans="1:22" x14ac:dyDescent="0.2">
      <c r="A2670" s="123"/>
      <c r="B2670" s="333"/>
      <c r="C2670" s="345"/>
      <c r="D2670" s="345"/>
      <c r="E2670" s="372"/>
      <c r="F2670" s="372"/>
      <c r="G2670" s="440"/>
      <c r="H2670" s="440"/>
      <c r="I2670" s="440"/>
      <c r="J2670" s="440"/>
      <c r="K2670" s="41"/>
      <c r="L2670" s="41"/>
      <c r="N2670" s="41"/>
      <c r="R2670" s="41"/>
      <c r="S2670" s="41"/>
      <c r="U2670" s="440"/>
      <c r="V2670" s="440"/>
    </row>
    <row r="2671" spans="1:22" x14ac:dyDescent="0.2">
      <c r="A2671" s="123"/>
      <c r="B2671" s="333"/>
      <c r="C2671" s="345"/>
      <c r="D2671" s="345"/>
      <c r="E2671" s="372"/>
      <c r="F2671" s="372"/>
      <c r="G2671" s="440"/>
      <c r="H2671" s="440"/>
      <c r="I2671" s="440"/>
      <c r="J2671" s="440"/>
      <c r="K2671" s="41"/>
      <c r="L2671" s="41"/>
      <c r="N2671" s="41"/>
      <c r="R2671" s="41"/>
      <c r="S2671" s="41"/>
      <c r="U2671" s="440"/>
      <c r="V2671" s="440"/>
    </row>
    <row r="2672" spans="1:22" x14ac:dyDescent="0.2">
      <c r="A2672" s="123"/>
      <c r="B2672" s="333"/>
      <c r="C2672" s="345"/>
      <c r="D2672" s="345"/>
      <c r="E2672" s="372"/>
      <c r="F2672" s="372"/>
      <c r="G2672" s="440"/>
      <c r="H2672" s="440"/>
      <c r="I2672" s="440"/>
      <c r="J2672" s="440"/>
      <c r="K2672" s="41"/>
      <c r="L2672" s="41"/>
      <c r="N2672" s="41"/>
      <c r="R2672" s="41"/>
      <c r="S2672" s="41"/>
      <c r="U2672" s="440"/>
      <c r="V2672" s="440"/>
    </row>
    <row r="2673" spans="1:22" x14ac:dyDescent="0.2">
      <c r="A2673" s="123"/>
      <c r="B2673" s="333"/>
      <c r="C2673" s="345"/>
      <c r="D2673" s="345"/>
      <c r="E2673" s="372"/>
      <c r="F2673" s="372"/>
      <c r="G2673" s="440"/>
      <c r="H2673" s="440"/>
      <c r="I2673" s="440"/>
      <c r="J2673" s="440"/>
      <c r="K2673" s="41"/>
      <c r="L2673" s="41"/>
      <c r="N2673" s="41"/>
      <c r="R2673" s="41"/>
      <c r="S2673" s="41"/>
      <c r="U2673" s="440"/>
      <c r="V2673" s="440"/>
    </row>
    <row r="2674" spans="1:22" x14ac:dyDescent="0.2">
      <c r="A2674" s="123"/>
      <c r="B2674" s="333"/>
      <c r="C2674" s="345"/>
      <c r="D2674" s="345"/>
      <c r="E2674" s="372"/>
      <c r="F2674" s="372"/>
      <c r="G2674" s="440"/>
      <c r="H2674" s="440"/>
      <c r="I2674" s="440"/>
      <c r="J2674" s="440"/>
      <c r="K2674" s="41"/>
      <c r="L2674" s="41"/>
      <c r="N2674" s="41"/>
      <c r="R2674" s="41"/>
      <c r="S2674" s="41"/>
      <c r="U2674" s="440"/>
      <c r="V2674" s="440"/>
    </row>
    <row r="2675" spans="1:22" x14ac:dyDescent="0.2">
      <c r="A2675" s="123"/>
      <c r="B2675" s="333"/>
      <c r="C2675" s="345"/>
      <c r="D2675" s="345"/>
      <c r="E2675" s="372"/>
      <c r="F2675" s="372"/>
      <c r="G2675" s="440"/>
      <c r="H2675" s="440"/>
      <c r="I2675" s="440"/>
      <c r="J2675" s="440"/>
      <c r="K2675" s="41"/>
      <c r="L2675" s="41"/>
      <c r="N2675" s="41"/>
      <c r="R2675" s="41"/>
      <c r="S2675" s="41"/>
      <c r="U2675" s="440"/>
      <c r="V2675" s="440"/>
    </row>
    <row r="2676" spans="1:22" x14ac:dyDescent="0.2">
      <c r="A2676" s="123"/>
      <c r="B2676" s="333"/>
      <c r="C2676" s="345"/>
      <c r="D2676" s="345"/>
      <c r="E2676" s="372"/>
      <c r="F2676" s="372"/>
      <c r="G2676" s="440"/>
      <c r="H2676" s="440"/>
      <c r="I2676" s="440"/>
      <c r="J2676" s="440"/>
      <c r="K2676" s="41"/>
      <c r="L2676" s="41"/>
      <c r="N2676" s="41"/>
      <c r="R2676" s="41"/>
      <c r="S2676" s="41"/>
      <c r="U2676" s="440"/>
      <c r="V2676" s="440"/>
    </row>
    <row r="2677" spans="1:22" x14ac:dyDescent="0.2">
      <c r="A2677" s="123"/>
      <c r="B2677" s="333"/>
      <c r="C2677" s="345"/>
      <c r="D2677" s="345"/>
      <c r="E2677" s="372"/>
      <c r="F2677" s="372"/>
      <c r="G2677" s="440"/>
      <c r="H2677" s="440"/>
      <c r="I2677" s="440"/>
      <c r="J2677" s="440"/>
      <c r="K2677" s="41"/>
      <c r="L2677" s="41"/>
      <c r="N2677" s="41"/>
      <c r="R2677" s="41"/>
      <c r="S2677" s="41"/>
      <c r="U2677" s="440"/>
      <c r="V2677" s="440"/>
    </row>
    <row r="2678" spans="1:22" x14ac:dyDescent="0.2">
      <c r="A2678" s="123"/>
      <c r="B2678" s="333"/>
      <c r="C2678" s="345"/>
      <c r="D2678" s="345"/>
      <c r="E2678" s="372"/>
      <c r="F2678" s="372"/>
      <c r="G2678" s="440"/>
      <c r="H2678" s="440"/>
      <c r="I2678" s="440"/>
      <c r="J2678" s="440"/>
      <c r="K2678" s="41"/>
      <c r="L2678" s="41"/>
      <c r="N2678" s="41"/>
      <c r="R2678" s="41"/>
      <c r="S2678" s="41"/>
      <c r="U2678" s="440"/>
      <c r="V2678" s="440"/>
    </row>
    <row r="2679" spans="1:22" x14ac:dyDescent="0.2">
      <c r="A2679" s="123"/>
      <c r="B2679" s="333"/>
      <c r="C2679" s="345"/>
      <c r="D2679" s="345"/>
      <c r="E2679" s="372"/>
      <c r="F2679" s="372"/>
      <c r="G2679" s="440"/>
      <c r="H2679" s="440"/>
      <c r="I2679" s="440"/>
      <c r="J2679" s="440"/>
      <c r="K2679" s="41"/>
      <c r="L2679" s="41"/>
      <c r="N2679" s="41"/>
      <c r="R2679" s="41"/>
      <c r="S2679" s="41"/>
      <c r="U2679" s="440"/>
      <c r="V2679" s="440"/>
    </row>
    <row r="2680" spans="1:22" x14ac:dyDescent="0.2">
      <c r="A2680" s="123"/>
      <c r="B2680" s="333"/>
      <c r="C2680" s="345"/>
      <c r="D2680" s="345"/>
      <c r="E2680" s="372"/>
      <c r="F2680" s="372"/>
      <c r="G2680" s="440"/>
      <c r="H2680" s="440"/>
      <c r="I2680" s="440"/>
      <c r="J2680" s="440"/>
      <c r="K2680" s="41"/>
      <c r="L2680" s="41"/>
      <c r="N2680" s="41"/>
      <c r="R2680" s="41"/>
      <c r="S2680" s="41"/>
      <c r="U2680" s="440"/>
      <c r="V2680" s="440"/>
    </row>
    <row r="2681" spans="1:22" x14ac:dyDescent="0.2">
      <c r="A2681" s="123"/>
      <c r="B2681" s="333"/>
      <c r="C2681" s="345"/>
      <c r="D2681" s="345"/>
      <c r="E2681" s="372"/>
      <c r="F2681" s="372"/>
      <c r="G2681" s="440"/>
      <c r="H2681" s="440"/>
      <c r="I2681" s="440"/>
      <c r="J2681" s="440"/>
      <c r="K2681" s="41"/>
      <c r="L2681" s="41"/>
      <c r="N2681" s="41"/>
      <c r="R2681" s="41"/>
      <c r="S2681" s="41"/>
      <c r="U2681" s="440"/>
      <c r="V2681" s="440"/>
    </row>
    <row r="2682" spans="1:22" x14ac:dyDescent="0.2">
      <c r="A2682" s="123"/>
      <c r="B2682" s="333"/>
      <c r="C2682" s="345"/>
      <c r="D2682" s="345"/>
      <c r="E2682" s="372"/>
      <c r="F2682" s="372"/>
      <c r="G2682" s="440"/>
      <c r="H2682" s="440"/>
      <c r="I2682" s="440"/>
      <c r="J2682" s="440"/>
      <c r="K2682" s="41"/>
      <c r="L2682" s="41"/>
      <c r="N2682" s="41"/>
      <c r="R2682" s="41"/>
      <c r="S2682" s="41"/>
      <c r="U2682" s="440"/>
      <c r="V2682" s="440"/>
    </row>
    <row r="2683" spans="1:22" x14ac:dyDescent="0.2">
      <c r="A2683" s="123"/>
      <c r="B2683" s="333"/>
      <c r="C2683" s="345"/>
      <c r="D2683" s="345"/>
      <c r="E2683" s="372"/>
      <c r="F2683" s="372"/>
      <c r="G2683" s="440"/>
      <c r="H2683" s="440"/>
      <c r="I2683" s="440"/>
      <c r="J2683" s="440"/>
      <c r="K2683" s="41"/>
      <c r="L2683" s="41"/>
      <c r="N2683" s="41"/>
      <c r="R2683" s="41"/>
      <c r="S2683" s="41"/>
      <c r="U2683" s="440"/>
      <c r="V2683" s="440"/>
    </row>
    <row r="2684" spans="1:22" x14ac:dyDescent="0.2">
      <c r="A2684" s="123"/>
      <c r="B2684" s="333"/>
      <c r="C2684" s="345"/>
      <c r="D2684" s="345"/>
      <c r="E2684" s="372"/>
      <c r="F2684" s="372"/>
      <c r="G2684" s="440"/>
      <c r="H2684" s="440"/>
      <c r="I2684" s="440"/>
      <c r="J2684" s="440"/>
      <c r="K2684" s="41"/>
      <c r="L2684" s="41"/>
      <c r="N2684" s="41"/>
      <c r="R2684" s="41"/>
      <c r="S2684" s="41"/>
      <c r="U2684" s="440"/>
      <c r="V2684" s="440"/>
    </row>
    <row r="2685" spans="1:22" x14ac:dyDescent="0.2">
      <c r="A2685" s="123"/>
      <c r="B2685" s="333"/>
      <c r="C2685" s="345"/>
      <c r="D2685" s="345"/>
      <c r="E2685" s="372"/>
      <c r="F2685" s="372"/>
      <c r="G2685" s="440"/>
      <c r="H2685" s="440"/>
      <c r="I2685" s="440"/>
      <c r="J2685" s="440"/>
      <c r="K2685" s="41"/>
      <c r="L2685" s="41"/>
      <c r="N2685" s="41"/>
      <c r="R2685" s="41"/>
      <c r="S2685" s="41"/>
      <c r="U2685" s="440"/>
      <c r="V2685" s="440"/>
    </row>
    <row r="2686" spans="1:22" x14ac:dyDescent="0.2">
      <c r="A2686" s="123"/>
      <c r="B2686" s="333"/>
      <c r="C2686" s="345"/>
      <c r="D2686" s="345"/>
      <c r="E2686" s="372"/>
      <c r="F2686" s="372"/>
      <c r="G2686" s="440"/>
      <c r="H2686" s="440"/>
      <c r="I2686" s="440"/>
      <c r="J2686" s="440"/>
      <c r="K2686" s="41"/>
      <c r="L2686" s="41"/>
      <c r="N2686" s="41"/>
      <c r="R2686" s="41"/>
      <c r="S2686" s="41"/>
      <c r="U2686" s="440"/>
      <c r="V2686" s="440"/>
    </row>
    <row r="2687" spans="1:22" x14ac:dyDescent="0.2">
      <c r="A2687" s="123"/>
      <c r="B2687" s="333"/>
      <c r="C2687" s="345"/>
      <c r="D2687" s="345"/>
      <c r="E2687" s="372"/>
      <c r="F2687" s="372"/>
      <c r="G2687" s="440"/>
      <c r="H2687" s="440"/>
      <c r="I2687" s="440"/>
      <c r="J2687" s="440"/>
      <c r="K2687" s="41"/>
      <c r="L2687" s="41"/>
      <c r="N2687" s="41"/>
      <c r="R2687" s="41"/>
      <c r="S2687" s="41"/>
      <c r="U2687" s="440"/>
      <c r="V2687" s="440"/>
    </row>
    <row r="2688" spans="1:22" x14ac:dyDescent="0.2">
      <c r="A2688" s="123"/>
      <c r="B2688" s="333"/>
      <c r="C2688" s="345"/>
      <c r="D2688" s="345"/>
      <c r="E2688" s="372"/>
      <c r="F2688" s="372"/>
      <c r="G2688" s="440"/>
      <c r="H2688" s="440"/>
      <c r="I2688" s="440"/>
      <c r="J2688" s="440"/>
      <c r="K2688" s="41"/>
      <c r="L2688" s="41"/>
      <c r="N2688" s="41"/>
      <c r="R2688" s="41"/>
      <c r="S2688" s="41"/>
      <c r="U2688" s="440"/>
      <c r="V2688" s="440"/>
    </row>
    <row r="2689" spans="1:22" x14ac:dyDescent="0.2">
      <c r="A2689" s="123"/>
      <c r="B2689" s="333"/>
      <c r="C2689" s="345"/>
      <c r="D2689" s="345"/>
      <c r="E2689" s="372"/>
      <c r="F2689" s="372"/>
      <c r="G2689" s="440"/>
      <c r="H2689" s="440"/>
      <c r="I2689" s="440"/>
      <c r="J2689" s="440"/>
      <c r="K2689" s="41"/>
      <c r="L2689" s="41"/>
      <c r="N2689" s="41"/>
      <c r="R2689" s="41"/>
      <c r="S2689" s="41"/>
      <c r="U2689" s="440"/>
      <c r="V2689" s="440"/>
    </row>
    <row r="2690" spans="1:22" x14ac:dyDescent="0.2">
      <c r="A2690" s="123"/>
      <c r="B2690" s="333"/>
      <c r="C2690" s="345"/>
      <c r="D2690" s="345"/>
      <c r="E2690" s="372"/>
      <c r="F2690" s="372"/>
      <c r="G2690" s="440"/>
      <c r="H2690" s="440"/>
      <c r="I2690" s="440"/>
      <c r="J2690" s="440"/>
      <c r="K2690" s="41"/>
      <c r="L2690" s="41"/>
      <c r="N2690" s="41"/>
      <c r="R2690" s="41"/>
      <c r="S2690" s="41"/>
      <c r="U2690" s="440"/>
      <c r="V2690" s="440"/>
    </row>
    <row r="2691" spans="1:22" x14ac:dyDescent="0.2">
      <c r="A2691" s="123"/>
      <c r="B2691" s="333"/>
      <c r="C2691" s="345"/>
      <c r="D2691" s="345"/>
      <c r="E2691" s="372"/>
      <c r="F2691" s="372"/>
      <c r="G2691" s="440"/>
      <c r="H2691" s="440"/>
      <c r="I2691" s="440"/>
      <c r="J2691" s="440"/>
      <c r="K2691" s="41"/>
      <c r="L2691" s="41"/>
      <c r="N2691" s="41"/>
      <c r="R2691" s="41"/>
      <c r="S2691" s="41"/>
      <c r="U2691" s="440"/>
      <c r="V2691" s="440"/>
    </row>
    <row r="2692" spans="1:22" x14ac:dyDescent="0.2">
      <c r="A2692" s="123"/>
      <c r="B2692" s="333"/>
      <c r="C2692" s="345"/>
      <c r="D2692" s="345"/>
      <c r="E2692" s="372"/>
      <c r="F2692" s="372"/>
      <c r="G2692" s="440"/>
      <c r="H2692" s="440"/>
      <c r="I2692" s="440"/>
      <c r="J2692" s="440"/>
      <c r="K2692" s="41"/>
      <c r="L2692" s="41"/>
      <c r="N2692" s="41"/>
      <c r="R2692" s="41"/>
      <c r="S2692" s="41"/>
      <c r="U2692" s="440"/>
      <c r="V2692" s="440"/>
    </row>
    <row r="2693" spans="1:22" x14ac:dyDescent="0.2">
      <c r="A2693" s="123"/>
      <c r="B2693" s="333"/>
      <c r="C2693" s="345"/>
      <c r="D2693" s="345"/>
      <c r="E2693" s="372"/>
      <c r="F2693" s="372"/>
      <c r="G2693" s="440"/>
      <c r="H2693" s="440"/>
      <c r="I2693" s="440"/>
      <c r="J2693" s="440"/>
      <c r="K2693" s="41"/>
      <c r="L2693" s="41"/>
      <c r="N2693" s="41"/>
      <c r="R2693" s="41"/>
      <c r="S2693" s="41"/>
      <c r="U2693" s="440"/>
      <c r="V2693" s="440"/>
    </row>
    <row r="2694" spans="1:22" x14ac:dyDescent="0.2">
      <c r="A2694" s="123"/>
      <c r="B2694" s="333"/>
      <c r="C2694" s="345"/>
      <c r="D2694" s="345"/>
      <c r="E2694" s="372"/>
      <c r="F2694" s="372"/>
      <c r="G2694" s="440"/>
      <c r="H2694" s="440"/>
      <c r="I2694" s="440"/>
      <c r="J2694" s="440"/>
      <c r="K2694" s="41"/>
      <c r="L2694" s="41"/>
      <c r="N2694" s="41"/>
      <c r="R2694" s="41"/>
      <c r="S2694" s="41"/>
      <c r="U2694" s="440"/>
      <c r="V2694" s="440"/>
    </row>
    <row r="2695" spans="1:22" x14ac:dyDescent="0.2">
      <c r="A2695" s="123"/>
      <c r="B2695" s="333"/>
      <c r="C2695" s="345"/>
      <c r="D2695" s="345"/>
      <c r="E2695" s="372"/>
      <c r="F2695" s="372"/>
      <c r="G2695" s="440"/>
      <c r="H2695" s="440"/>
      <c r="I2695" s="440"/>
      <c r="J2695" s="440"/>
      <c r="K2695" s="41"/>
      <c r="L2695" s="41"/>
      <c r="N2695" s="41"/>
      <c r="R2695" s="41"/>
      <c r="S2695" s="41"/>
      <c r="U2695" s="440"/>
      <c r="V2695" s="440"/>
    </row>
    <row r="2696" spans="1:22" x14ac:dyDescent="0.2">
      <c r="A2696" s="123"/>
      <c r="B2696" s="333"/>
      <c r="C2696" s="345"/>
      <c r="D2696" s="345"/>
      <c r="E2696" s="372"/>
      <c r="F2696" s="372"/>
      <c r="G2696" s="440"/>
      <c r="H2696" s="440"/>
      <c r="I2696" s="440"/>
      <c r="J2696" s="440"/>
      <c r="K2696" s="41"/>
      <c r="L2696" s="41"/>
      <c r="N2696" s="41"/>
      <c r="R2696" s="41"/>
      <c r="S2696" s="41"/>
      <c r="U2696" s="440"/>
      <c r="V2696" s="440"/>
    </row>
    <row r="2697" spans="1:22" x14ac:dyDescent="0.2">
      <c r="A2697" s="123"/>
      <c r="B2697" s="333"/>
      <c r="C2697" s="345"/>
      <c r="D2697" s="345"/>
      <c r="E2697" s="372"/>
      <c r="F2697" s="372"/>
      <c r="G2697" s="440"/>
      <c r="H2697" s="440"/>
      <c r="I2697" s="440"/>
      <c r="J2697" s="440"/>
      <c r="K2697" s="41"/>
      <c r="L2697" s="41"/>
      <c r="N2697" s="41"/>
      <c r="R2697" s="41"/>
      <c r="S2697" s="41"/>
      <c r="U2697" s="440"/>
      <c r="V2697" s="440"/>
    </row>
    <row r="2698" spans="1:22" x14ac:dyDescent="0.2">
      <c r="A2698" s="123"/>
      <c r="B2698" s="333"/>
      <c r="C2698" s="345"/>
      <c r="D2698" s="345"/>
      <c r="E2698" s="372"/>
      <c r="F2698" s="372"/>
      <c r="G2698" s="440"/>
      <c r="H2698" s="440"/>
      <c r="I2698" s="440"/>
      <c r="J2698" s="440"/>
      <c r="K2698" s="41"/>
      <c r="L2698" s="41"/>
      <c r="N2698" s="41"/>
      <c r="R2698" s="41"/>
      <c r="S2698" s="41"/>
      <c r="U2698" s="440"/>
      <c r="V2698" s="440"/>
    </row>
    <row r="2699" spans="1:22" x14ac:dyDescent="0.2">
      <c r="A2699" s="123"/>
      <c r="B2699" s="333"/>
      <c r="C2699" s="345"/>
      <c r="D2699" s="345"/>
      <c r="E2699" s="372"/>
      <c r="F2699" s="372"/>
      <c r="G2699" s="440"/>
      <c r="H2699" s="440"/>
      <c r="I2699" s="440"/>
      <c r="J2699" s="440"/>
      <c r="K2699" s="41"/>
      <c r="L2699" s="41"/>
      <c r="N2699" s="41"/>
      <c r="R2699" s="41"/>
      <c r="S2699" s="41"/>
      <c r="U2699" s="440"/>
      <c r="V2699" s="440"/>
    </row>
    <row r="2700" spans="1:22" x14ac:dyDescent="0.2">
      <c r="A2700" s="123"/>
      <c r="B2700" s="333"/>
      <c r="C2700" s="345"/>
      <c r="D2700" s="345"/>
      <c r="E2700" s="372"/>
      <c r="F2700" s="372"/>
      <c r="G2700" s="440"/>
      <c r="H2700" s="440"/>
      <c r="I2700" s="440"/>
      <c r="J2700" s="440"/>
      <c r="K2700" s="41"/>
      <c r="L2700" s="41"/>
      <c r="N2700" s="41"/>
      <c r="R2700" s="41"/>
      <c r="S2700" s="41"/>
      <c r="U2700" s="440"/>
      <c r="V2700" s="440"/>
    </row>
    <row r="2701" spans="1:22" x14ac:dyDescent="0.2">
      <c r="A2701" s="123"/>
      <c r="B2701" s="333"/>
      <c r="C2701" s="345"/>
      <c r="D2701" s="345"/>
      <c r="E2701" s="372"/>
      <c r="F2701" s="372"/>
      <c r="G2701" s="440"/>
      <c r="H2701" s="440"/>
      <c r="I2701" s="440"/>
      <c r="J2701" s="440"/>
      <c r="K2701" s="41"/>
      <c r="L2701" s="41"/>
      <c r="N2701" s="41"/>
      <c r="R2701" s="41"/>
      <c r="S2701" s="41"/>
      <c r="U2701" s="440"/>
      <c r="V2701" s="440"/>
    </row>
    <row r="2702" spans="1:22" x14ac:dyDescent="0.2">
      <c r="A2702" s="123"/>
      <c r="B2702" s="333"/>
      <c r="C2702" s="345"/>
      <c r="D2702" s="345"/>
      <c r="E2702" s="372"/>
      <c r="F2702" s="372"/>
      <c r="G2702" s="440"/>
      <c r="H2702" s="440"/>
      <c r="I2702" s="440"/>
      <c r="J2702" s="440"/>
      <c r="K2702" s="41"/>
      <c r="L2702" s="41"/>
      <c r="N2702" s="41"/>
      <c r="R2702" s="41"/>
      <c r="S2702" s="41"/>
      <c r="U2702" s="440"/>
      <c r="V2702" s="440"/>
    </row>
    <row r="2703" spans="1:22" x14ac:dyDescent="0.2">
      <c r="A2703" s="123"/>
      <c r="B2703" s="333"/>
      <c r="C2703" s="345"/>
      <c r="D2703" s="345"/>
      <c r="E2703" s="372"/>
      <c r="F2703" s="372"/>
      <c r="G2703" s="440"/>
      <c r="H2703" s="440"/>
      <c r="I2703" s="440"/>
      <c r="J2703" s="440"/>
      <c r="K2703" s="41"/>
      <c r="L2703" s="41"/>
      <c r="N2703" s="41"/>
      <c r="R2703" s="41"/>
      <c r="S2703" s="41"/>
      <c r="U2703" s="440"/>
      <c r="V2703" s="440"/>
    </row>
    <row r="2704" spans="1:22" x14ac:dyDescent="0.2">
      <c r="A2704" s="123"/>
      <c r="B2704" s="333"/>
      <c r="C2704" s="345"/>
      <c r="D2704" s="345"/>
      <c r="E2704" s="372"/>
      <c r="F2704" s="372"/>
      <c r="G2704" s="440"/>
      <c r="H2704" s="440"/>
      <c r="I2704" s="440"/>
      <c r="J2704" s="440"/>
      <c r="K2704" s="41"/>
      <c r="L2704" s="41"/>
      <c r="N2704" s="41"/>
      <c r="R2704" s="41"/>
      <c r="S2704" s="41"/>
      <c r="U2704" s="440"/>
      <c r="V2704" s="440"/>
    </row>
    <row r="2705" spans="1:22" x14ac:dyDescent="0.2">
      <c r="A2705" s="123"/>
      <c r="B2705" s="333"/>
      <c r="C2705" s="345"/>
      <c r="D2705" s="345"/>
      <c r="E2705" s="372"/>
      <c r="F2705" s="372"/>
      <c r="G2705" s="440"/>
      <c r="H2705" s="440"/>
      <c r="I2705" s="440"/>
      <c r="J2705" s="440"/>
      <c r="K2705" s="41"/>
      <c r="L2705" s="41"/>
      <c r="N2705" s="41"/>
      <c r="R2705" s="41"/>
      <c r="S2705" s="41"/>
      <c r="U2705" s="440"/>
      <c r="V2705" s="440"/>
    </row>
    <row r="2706" spans="1:22" x14ac:dyDescent="0.2">
      <c r="A2706" s="123"/>
      <c r="B2706" s="333"/>
      <c r="C2706" s="345"/>
      <c r="D2706" s="345"/>
      <c r="E2706" s="372"/>
      <c r="F2706" s="372"/>
      <c r="G2706" s="440"/>
      <c r="H2706" s="440"/>
      <c r="I2706" s="440"/>
      <c r="J2706" s="440"/>
      <c r="K2706" s="41"/>
      <c r="L2706" s="41"/>
      <c r="N2706" s="41"/>
      <c r="R2706" s="41"/>
      <c r="S2706" s="41"/>
      <c r="U2706" s="440"/>
      <c r="V2706" s="440"/>
    </row>
    <row r="2707" spans="1:22" x14ac:dyDescent="0.2">
      <c r="A2707" s="123"/>
      <c r="B2707" s="333"/>
      <c r="C2707" s="345"/>
      <c r="D2707" s="345"/>
      <c r="E2707" s="372"/>
      <c r="F2707" s="372"/>
      <c r="G2707" s="440"/>
      <c r="H2707" s="440"/>
      <c r="I2707" s="440"/>
      <c r="J2707" s="440"/>
      <c r="K2707" s="41"/>
      <c r="L2707" s="41"/>
      <c r="N2707" s="41"/>
      <c r="R2707" s="41"/>
      <c r="S2707" s="41"/>
      <c r="U2707" s="440"/>
      <c r="V2707" s="440"/>
    </row>
    <row r="2708" spans="1:22" x14ac:dyDescent="0.2">
      <c r="A2708" s="123"/>
      <c r="B2708" s="333"/>
      <c r="C2708" s="345"/>
      <c r="D2708" s="345"/>
      <c r="E2708" s="372"/>
      <c r="F2708" s="372"/>
      <c r="G2708" s="440"/>
      <c r="H2708" s="440"/>
      <c r="I2708" s="440"/>
      <c r="J2708" s="440"/>
      <c r="K2708" s="41"/>
      <c r="L2708" s="41"/>
      <c r="N2708" s="41"/>
      <c r="R2708" s="41"/>
      <c r="S2708" s="41"/>
      <c r="U2708" s="440"/>
      <c r="V2708" s="440"/>
    </row>
    <row r="2709" spans="1:22" x14ac:dyDescent="0.2">
      <c r="A2709" s="123"/>
      <c r="B2709" s="333"/>
      <c r="C2709" s="345"/>
      <c r="D2709" s="345"/>
      <c r="E2709" s="372"/>
      <c r="F2709" s="372"/>
      <c r="G2709" s="440"/>
      <c r="H2709" s="440"/>
      <c r="I2709" s="440"/>
      <c r="J2709" s="440"/>
      <c r="K2709" s="41"/>
      <c r="L2709" s="41"/>
      <c r="N2709" s="41"/>
      <c r="R2709" s="41"/>
      <c r="S2709" s="41"/>
      <c r="U2709" s="440"/>
      <c r="V2709" s="440"/>
    </row>
    <row r="2710" spans="1:22" x14ac:dyDescent="0.2">
      <c r="A2710" s="123"/>
      <c r="B2710" s="333"/>
      <c r="C2710" s="345"/>
      <c r="D2710" s="345"/>
      <c r="E2710" s="372"/>
      <c r="F2710" s="372"/>
      <c r="G2710" s="440"/>
      <c r="H2710" s="440"/>
      <c r="I2710" s="440"/>
      <c r="J2710" s="440"/>
      <c r="K2710" s="41"/>
      <c r="L2710" s="41"/>
      <c r="N2710" s="41"/>
      <c r="R2710" s="41"/>
      <c r="S2710" s="41"/>
      <c r="U2710" s="440"/>
      <c r="V2710" s="440"/>
    </row>
    <row r="2711" spans="1:22" x14ac:dyDescent="0.2">
      <c r="A2711" s="123"/>
      <c r="B2711" s="333"/>
      <c r="C2711" s="345"/>
      <c r="D2711" s="345"/>
      <c r="E2711" s="372"/>
      <c r="F2711" s="372"/>
      <c r="G2711" s="440"/>
      <c r="H2711" s="440"/>
      <c r="I2711" s="440"/>
      <c r="J2711" s="440"/>
      <c r="K2711" s="41"/>
      <c r="L2711" s="41"/>
      <c r="N2711" s="41"/>
      <c r="R2711" s="41"/>
      <c r="S2711" s="41"/>
      <c r="U2711" s="440"/>
      <c r="V2711" s="440"/>
    </row>
    <row r="2712" spans="1:22" x14ac:dyDescent="0.2">
      <c r="A2712" s="123"/>
      <c r="B2712" s="333"/>
      <c r="C2712" s="345"/>
      <c r="D2712" s="345"/>
      <c r="E2712" s="372"/>
      <c r="F2712" s="372"/>
      <c r="G2712" s="440"/>
      <c r="H2712" s="440"/>
      <c r="I2712" s="440"/>
      <c r="J2712" s="440"/>
      <c r="K2712" s="41"/>
      <c r="L2712" s="41"/>
      <c r="N2712" s="41"/>
      <c r="R2712" s="41"/>
      <c r="S2712" s="41"/>
      <c r="U2712" s="440"/>
      <c r="V2712" s="440"/>
    </row>
    <row r="2713" spans="1:22" x14ac:dyDescent="0.2">
      <c r="A2713" s="123"/>
      <c r="B2713" s="333"/>
      <c r="C2713" s="345"/>
      <c r="D2713" s="345"/>
      <c r="E2713" s="372"/>
      <c r="F2713" s="372"/>
      <c r="G2713" s="440"/>
      <c r="H2713" s="440"/>
      <c r="I2713" s="440"/>
      <c r="J2713" s="440"/>
      <c r="K2713" s="41"/>
      <c r="L2713" s="41"/>
      <c r="N2713" s="41"/>
      <c r="R2713" s="41"/>
      <c r="S2713" s="41"/>
      <c r="U2713" s="440"/>
      <c r="V2713" s="440"/>
    </row>
    <row r="2714" spans="1:22" x14ac:dyDescent="0.2">
      <c r="A2714" s="123"/>
      <c r="B2714" s="333"/>
      <c r="C2714" s="345"/>
      <c r="D2714" s="345"/>
      <c r="E2714" s="372"/>
      <c r="F2714" s="372"/>
      <c r="G2714" s="440"/>
      <c r="H2714" s="440"/>
      <c r="I2714" s="440"/>
      <c r="J2714" s="440"/>
      <c r="K2714" s="41"/>
      <c r="L2714" s="41"/>
      <c r="N2714" s="41"/>
      <c r="R2714" s="41"/>
      <c r="S2714" s="41"/>
      <c r="U2714" s="440"/>
      <c r="V2714" s="440"/>
    </row>
    <row r="2715" spans="1:22" x14ac:dyDescent="0.2">
      <c r="A2715" s="123"/>
      <c r="B2715" s="333"/>
      <c r="C2715" s="345"/>
      <c r="D2715" s="345"/>
      <c r="E2715" s="372"/>
      <c r="F2715" s="372"/>
      <c r="G2715" s="440"/>
      <c r="H2715" s="440"/>
      <c r="I2715" s="440"/>
      <c r="J2715" s="440"/>
      <c r="K2715" s="41"/>
      <c r="L2715" s="41"/>
      <c r="N2715" s="41"/>
      <c r="R2715" s="41"/>
      <c r="S2715" s="41"/>
      <c r="U2715" s="440"/>
      <c r="V2715" s="440"/>
    </row>
    <row r="2716" spans="1:22" x14ac:dyDescent="0.2">
      <c r="A2716" s="123"/>
      <c r="B2716" s="333"/>
      <c r="C2716" s="345"/>
      <c r="D2716" s="345"/>
      <c r="E2716" s="372"/>
      <c r="F2716" s="372"/>
      <c r="G2716" s="440"/>
      <c r="H2716" s="440"/>
      <c r="I2716" s="440"/>
      <c r="J2716" s="440"/>
      <c r="K2716" s="41"/>
      <c r="L2716" s="41"/>
      <c r="N2716" s="41"/>
      <c r="R2716" s="41"/>
      <c r="S2716" s="41"/>
      <c r="U2716" s="440"/>
      <c r="V2716" s="440"/>
    </row>
    <row r="2717" spans="1:22" x14ac:dyDescent="0.2">
      <c r="A2717" s="123"/>
      <c r="B2717" s="333"/>
      <c r="C2717" s="345"/>
      <c r="D2717" s="345"/>
      <c r="E2717" s="372"/>
      <c r="F2717" s="372"/>
      <c r="G2717" s="440"/>
      <c r="H2717" s="440"/>
      <c r="I2717" s="440"/>
      <c r="J2717" s="440"/>
      <c r="K2717" s="41"/>
      <c r="L2717" s="41"/>
      <c r="N2717" s="41"/>
      <c r="R2717" s="41"/>
      <c r="S2717" s="41"/>
      <c r="U2717" s="440"/>
      <c r="V2717" s="440"/>
    </row>
    <row r="2718" spans="1:22" x14ac:dyDescent="0.2">
      <c r="A2718" s="123"/>
      <c r="B2718" s="333"/>
      <c r="C2718" s="345"/>
      <c r="D2718" s="345"/>
      <c r="E2718" s="372"/>
      <c r="F2718" s="372"/>
      <c r="G2718" s="440"/>
      <c r="H2718" s="440"/>
      <c r="I2718" s="440"/>
      <c r="J2718" s="440"/>
      <c r="K2718" s="41"/>
      <c r="L2718" s="41"/>
      <c r="N2718" s="41"/>
      <c r="R2718" s="41"/>
      <c r="S2718" s="41"/>
      <c r="U2718" s="440"/>
      <c r="V2718" s="440"/>
    </row>
    <row r="2719" spans="1:22" x14ac:dyDescent="0.2">
      <c r="A2719" s="123"/>
      <c r="B2719" s="333"/>
      <c r="C2719" s="345"/>
      <c r="D2719" s="345"/>
      <c r="E2719" s="372"/>
      <c r="F2719" s="372"/>
      <c r="G2719" s="440"/>
      <c r="H2719" s="440"/>
      <c r="I2719" s="440"/>
      <c r="J2719" s="440"/>
      <c r="K2719" s="41"/>
      <c r="L2719" s="41"/>
      <c r="N2719" s="41"/>
      <c r="R2719" s="41"/>
      <c r="S2719" s="41"/>
      <c r="U2719" s="440"/>
      <c r="V2719" s="440"/>
    </row>
    <row r="2720" spans="1:22" x14ac:dyDescent="0.2">
      <c r="A2720" s="123"/>
      <c r="B2720" s="333"/>
      <c r="C2720" s="345"/>
      <c r="D2720" s="345"/>
      <c r="E2720" s="372"/>
      <c r="F2720" s="372"/>
      <c r="G2720" s="440"/>
      <c r="H2720" s="440"/>
      <c r="I2720" s="440"/>
      <c r="J2720" s="440"/>
      <c r="K2720" s="41"/>
      <c r="L2720" s="41"/>
      <c r="N2720" s="41"/>
      <c r="R2720" s="41"/>
      <c r="S2720" s="41"/>
      <c r="U2720" s="440"/>
      <c r="V2720" s="440"/>
    </row>
    <row r="2721" spans="1:22" x14ac:dyDescent="0.2">
      <c r="A2721" s="123"/>
      <c r="B2721" s="333"/>
      <c r="C2721" s="345"/>
      <c r="D2721" s="345"/>
      <c r="E2721" s="372"/>
      <c r="F2721" s="372"/>
      <c r="G2721" s="440"/>
      <c r="H2721" s="440"/>
      <c r="I2721" s="440"/>
      <c r="J2721" s="440"/>
      <c r="K2721" s="41"/>
      <c r="L2721" s="41"/>
      <c r="N2721" s="41"/>
      <c r="R2721" s="41"/>
      <c r="S2721" s="41"/>
      <c r="U2721" s="440"/>
      <c r="V2721" s="440"/>
    </row>
    <row r="2722" spans="1:22" x14ac:dyDescent="0.2">
      <c r="A2722" s="123"/>
      <c r="B2722" s="333"/>
      <c r="C2722" s="345"/>
      <c r="D2722" s="345"/>
      <c r="E2722" s="372"/>
      <c r="F2722" s="372"/>
      <c r="G2722" s="440"/>
      <c r="H2722" s="440"/>
      <c r="I2722" s="440"/>
      <c r="J2722" s="440"/>
      <c r="K2722" s="41"/>
      <c r="L2722" s="41"/>
      <c r="N2722" s="41"/>
      <c r="R2722" s="41"/>
      <c r="S2722" s="41"/>
      <c r="U2722" s="440"/>
      <c r="V2722" s="440"/>
    </row>
    <row r="2723" spans="1:22" x14ac:dyDescent="0.2">
      <c r="A2723" s="123"/>
      <c r="B2723" s="333"/>
      <c r="C2723" s="345"/>
      <c r="D2723" s="345"/>
      <c r="E2723" s="372"/>
      <c r="F2723" s="372"/>
      <c r="G2723" s="440"/>
      <c r="H2723" s="440"/>
      <c r="I2723" s="440"/>
      <c r="J2723" s="440"/>
      <c r="K2723" s="41"/>
      <c r="L2723" s="41"/>
      <c r="N2723" s="41"/>
      <c r="R2723" s="41"/>
      <c r="S2723" s="41"/>
      <c r="U2723" s="440"/>
      <c r="V2723" s="440"/>
    </row>
    <row r="2724" spans="1:22" x14ac:dyDescent="0.2">
      <c r="A2724" s="123"/>
      <c r="B2724" s="333"/>
      <c r="C2724" s="345"/>
      <c r="D2724" s="345"/>
      <c r="E2724" s="372"/>
      <c r="F2724" s="372"/>
      <c r="G2724" s="440"/>
      <c r="H2724" s="440"/>
      <c r="I2724" s="440"/>
      <c r="J2724" s="440"/>
      <c r="K2724" s="41"/>
      <c r="L2724" s="41"/>
      <c r="N2724" s="41"/>
      <c r="R2724" s="41"/>
      <c r="S2724" s="41"/>
      <c r="U2724" s="440"/>
      <c r="V2724" s="440"/>
    </row>
    <row r="2725" spans="1:22" x14ac:dyDescent="0.2">
      <c r="A2725" s="123"/>
      <c r="B2725" s="333"/>
      <c r="C2725" s="345"/>
      <c r="D2725" s="345"/>
      <c r="E2725" s="372"/>
      <c r="F2725" s="372"/>
      <c r="G2725" s="440"/>
      <c r="H2725" s="440"/>
      <c r="I2725" s="440"/>
      <c r="J2725" s="440"/>
      <c r="K2725" s="41"/>
      <c r="L2725" s="41"/>
      <c r="N2725" s="41"/>
      <c r="R2725" s="41"/>
      <c r="S2725" s="41"/>
      <c r="U2725" s="440"/>
      <c r="V2725" s="440"/>
    </row>
    <row r="2726" spans="1:22" x14ac:dyDescent="0.2">
      <c r="A2726" s="123"/>
      <c r="B2726" s="333"/>
      <c r="C2726" s="345"/>
      <c r="D2726" s="345"/>
      <c r="E2726" s="372"/>
      <c r="F2726" s="372"/>
      <c r="G2726" s="440"/>
      <c r="H2726" s="440"/>
      <c r="I2726" s="440"/>
      <c r="J2726" s="440"/>
      <c r="K2726" s="41"/>
      <c r="L2726" s="41"/>
      <c r="N2726" s="41"/>
      <c r="R2726" s="41"/>
      <c r="S2726" s="41"/>
      <c r="U2726" s="440"/>
      <c r="V2726" s="440"/>
    </row>
    <row r="2727" spans="1:22" x14ac:dyDescent="0.2">
      <c r="A2727" s="123"/>
      <c r="B2727" s="333"/>
      <c r="C2727" s="345"/>
      <c r="D2727" s="345"/>
      <c r="E2727" s="372"/>
      <c r="F2727" s="372"/>
      <c r="G2727" s="440"/>
      <c r="H2727" s="440"/>
      <c r="I2727" s="440"/>
      <c r="J2727" s="440"/>
      <c r="K2727" s="41"/>
      <c r="L2727" s="41"/>
      <c r="N2727" s="41"/>
      <c r="R2727" s="41"/>
      <c r="S2727" s="41"/>
      <c r="U2727" s="440"/>
      <c r="V2727" s="440"/>
    </row>
    <row r="2728" spans="1:22" x14ac:dyDescent="0.2">
      <c r="A2728" s="123"/>
      <c r="B2728" s="333"/>
      <c r="C2728" s="345"/>
      <c r="D2728" s="345"/>
      <c r="E2728" s="372"/>
      <c r="F2728" s="372"/>
      <c r="G2728" s="440"/>
      <c r="H2728" s="440"/>
      <c r="I2728" s="440"/>
      <c r="J2728" s="440"/>
      <c r="K2728" s="41"/>
      <c r="L2728" s="41"/>
      <c r="N2728" s="41"/>
      <c r="R2728" s="41"/>
      <c r="S2728" s="41"/>
      <c r="U2728" s="440"/>
      <c r="V2728" s="440"/>
    </row>
    <row r="2729" spans="1:22" x14ac:dyDescent="0.2">
      <c r="A2729" s="123"/>
      <c r="B2729" s="333"/>
      <c r="C2729" s="345"/>
      <c r="D2729" s="345"/>
      <c r="E2729" s="372"/>
      <c r="F2729" s="372"/>
      <c r="G2729" s="440"/>
      <c r="H2729" s="440"/>
      <c r="I2729" s="440"/>
      <c r="J2729" s="440"/>
      <c r="K2729" s="41"/>
      <c r="L2729" s="41"/>
      <c r="N2729" s="41"/>
      <c r="R2729" s="41"/>
      <c r="S2729" s="41"/>
      <c r="U2729" s="440"/>
      <c r="V2729" s="440"/>
    </row>
    <row r="2730" spans="1:22" x14ac:dyDescent="0.2">
      <c r="A2730" s="123"/>
      <c r="B2730" s="333"/>
      <c r="C2730" s="345"/>
      <c r="D2730" s="345"/>
      <c r="E2730" s="372"/>
      <c r="F2730" s="372"/>
      <c r="G2730" s="440"/>
      <c r="H2730" s="440"/>
      <c r="I2730" s="440"/>
      <c r="J2730" s="440"/>
      <c r="K2730" s="41"/>
      <c r="L2730" s="41"/>
      <c r="N2730" s="41"/>
      <c r="R2730" s="41"/>
      <c r="S2730" s="41"/>
      <c r="U2730" s="440"/>
      <c r="V2730" s="440"/>
    </row>
    <row r="2731" spans="1:22" x14ac:dyDescent="0.2">
      <c r="A2731" s="123"/>
      <c r="B2731" s="333"/>
      <c r="C2731" s="345"/>
      <c r="D2731" s="345"/>
      <c r="E2731" s="372"/>
      <c r="F2731" s="372"/>
      <c r="G2731" s="440"/>
      <c r="H2731" s="440"/>
      <c r="I2731" s="440"/>
      <c r="J2731" s="440"/>
      <c r="K2731" s="41"/>
      <c r="L2731" s="41"/>
      <c r="N2731" s="41"/>
      <c r="R2731" s="41"/>
      <c r="S2731" s="41"/>
      <c r="U2731" s="440"/>
      <c r="V2731" s="440"/>
    </row>
    <row r="2732" spans="1:22" x14ac:dyDescent="0.2">
      <c r="A2732" s="123"/>
      <c r="B2732" s="333"/>
      <c r="C2732" s="345"/>
      <c r="D2732" s="345"/>
      <c r="E2732" s="372"/>
      <c r="F2732" s="372"/>
      <c r="G2732" s="440"/>
      <c r="H2732" s="440"/>
      <c r="I2732" s="440"/>
      <c r="J2732" s="440"/>
      <c r="K2732" s="41"/>
      <c r="L2732" s="41"/>
      <c r="N2732" s="41"/>
      <c r="R2732" s="41"/>
      <c r="S2732" s="41"/>
      <c r="U2732" s="440"/>
      <c r="V2732" s="440"/>
    </row>
    <row r="2733" spans="1:22" x14ac:dyDescent="0.2">
      <c r="A2733" s="123"/>
      <c r="B2733" s="333"/>
      <c r="C2733" s="345"/>
      <c r="D2733" s="345"/>
      <c r="E2733" s="372"/>
      <c r="F2733" s="372"/>
      <c r="G2733" s="440"/>
      <c r="H2733" s="440"/>
      <c r="I2733" s="440"/>
      <c r="J2733" s="440"/>
      <c r="K2733" s="41"/>
      <c r="L2733" s="41"/>
      <c r="N2733" s="41"/>
      <c r="R2733" s="41"/>
      <c r="S2733" s="41"/>
      <c r="U2733" s="440"/>
      <c r="V2733" s="440"/>
    </row>
    <row r="2734" spans="1:22" x14ac:dyDescent="0.2">
      <c r="A2734" s="123"/>
      <c r="B2734" s="333"/>
      <c r="C2734" s="345"/>
      <c r="D2734" s="345"/>
      <c r="E2734" s="372"/>
      <c r="F2734" s="372"/>
      <c r="G2734" s="440"/>
      <c r="H2734" s="440"/>
      <c r="I2734" s="440"/>
      <c r="J2734" s="440"/>
      <c r="K2734" s="41"/>
      <c r="L2734" s="41"/>
      <c r="N2734" s="41"/>
      <c r="R2734" s="41"/>
      <c r="S2734" s="41"/>
      <c r="U2734" s="440"/>
      <c r="V2734" s="440"/>
    </row>
    <row r="2735" spans="1:22" x14ac:dyDescent="0.2">
      <c r="A2735" s="123"/>
      <c r="B2735" s="333"/>
      <c r="C2735" s="345"/>
      <c r="D2735" s="345"/>
      <c r="E2735" s="372"/>
      <c r="F2735" s="372"/>
      <c r="G2735" s="440"/>
      <c r="H2735" s="440"/>
      <c r="I2735" s="440"/>
      <c r="J2735" s="440"/>
      <c r="K2735" s="41"/>
      <c r="L2735" s="41"/>
      <c r="N2735" s="41"/>
      <c r="R2735" s="41"/>
      <c r="S2735" s="41"/>
      <c r="U2735" s="440"/>
      <c r="V2735" s="440"/>
    </row>
    <row r="2736" spans="1:22" x14ac:dyDescent="0.2">
      <c r="A2736" s="123"/>
      <c r="B2736" s="333"/>
      <c r="C2736" s="345"/>
      <c r="D2736" s="345"/>
      <c r="E2736" s="372"/>
      <c r="F2736" s="372"/>
      <c r="G2736" s="440"/>
      <c r="H2736" s="440"/>
      <c r="I2736" s="440"/>
      <c r="J2736" s="440"/>
      <c r="K2736" s="41"/>
      <c r="L2736" s="41"/>
      <c r="N2736" s="41"/>
      <c r="R2736" s="41"/>
      <c r="S2736" s="41"/>
      <c r="U2736" s="440"/>
      <c r="V2736" s="440"/>
    </row>
    <row r="2737" spans="1:22" x14ac:dyDescent="0.2">
      <c r="A2737" s="123"/>
      <c r="B2737" s="333"/>
      <c r="C2737" s="345"/>
      <c r="D2737" s="345"/>
      <c r="E2737" s="372"/>
      <c r="F2737" s="372"/>
      <c r="G2737" s="440"/>
      <c r="H2737" s="440"/>
      <c r="I2737" s="440"/>
      <c r="J2737" s="440"/>
      <c r="K2737" s="41"/>
      <c r="L2737" s="41"/>
      <c r="N2737" s="41"/>
      <c r="R2737" s="41"/>
      <c r="S2737" s="41"/>
      <c r="U2737" s="440"/>
      <c r="V2737" s="440"/>
    </row>
    <row r="2738" spans="1:22" x14ac:dyDescent="0.2">
      <c r="A2738" s="123"/>
      <c r="B2738" s="333"/>
      <c r="C2738" s="345"/>
      <c r="D2738" s="345"/>
      <c r="E2738" s="372"/>
      <c r="F2738" s="372"/>
      <c r="G2738" s="440"/>
      <c r="H2738" s="440"/>
      <c r="I2738" s="440"/>
      <c r="J2738" s="440"/>
      <c r="K2738" s="41"/>
      <c r="L2738" s="41"/>
      <c r="N2738" s="41"/>
      <c r="R2738" s="41"/>
      <c r="S2738" s="41"/>
      <c r="U2738" s="440"/>
      <c r="V2738" s="440"/>
    </row>
    <row r="2739" spans="1:22" x14ac:dyDescent="0.2">
      <c r="A2739" s="123"/>
      <c r="B2739" s="333"/>
      <c r="C2739" s="345"/>
      <c r="D2739" s="345"/>
      <c r="E2739" s="372"/>
      <c r="F2739" s="372"/>
      <c r="G2739" s="440"/>
      <c r="H2739" s="440"/>
      <c r="I2739" s="440"/>
      <c r="J2739" s="440"/>
      <c r="K2739" s="41"/>
      <c r="L2739" s="41"/>
      <c r="N2739" s="41"/>
      <c r="R2739" s="41"/>
      <c r="S2739" s="41"/>
      <c r="U2739" s="440"/>
      <c r="V2739" s="440"/>
    </row>
    <row r="2740" spans="1:22" x14ac:dyDescent="0.2">
      <c r="A2740" s="123"/>
      <c r="B2740" s="333"/>
      <c r="C2740" s="345"/>
      <c r="D2740" s="345"/>
      <c r="E2740" s="372"/>
      <c r="F2740" s="372"/>
      <c r="G2740" s="440"/>
      <c r="H2740" s="440"/>
      <c r="I2740" s="440"/>
      <c r="J2740" s="440"/>
      <c r="K2740" s="41"/>
      <c r="L2740" s="41"/>
      <c r="N2740" s="41"/>
      <c r="R2740" s="41"/>
      <c r="S2740" s="41"/>
      <c r="U2740" s="440"/>
      <c r="V2740" s="440"/>
    </row>
    <row r="2741" spans="1:22" x14ac:dyDescent="0.2">
      <c r="A2741" s="123"/>
      <c r="B2741" s="333"/>
      <c r="C2741" s="345"/>
      <c r="D2741" s="345"/>
      <c r="E2741" s="372"/>
      <c r="F2741" s="372"/>
      <c r="G2741" s="440"/>
      <c r="H2741" s="440"/>
      <c r="I2741" s="440"/>
      <c r="J2741" s="440"/>
      <c r="K2741" s="41"/>
      <c r="L2741" s="41"/>
      <c r="N2741" s="41"/>
      <c r="R2741" s="41"/>
      <c r="S2741" s="41"/>
      <c r="U2741" s="440"/>
      <c r="V2741" s="440"/>
    </row>
    <row r="2742" spans="1:22" x14ac:dyDescent="0.2">
      <c r="A2742" s="123"/>
      <c r="B2742" s="333"/>
      <c r="C2742" s="345"/>
      <c r="D2742" s="345"/>
      <c r="E2742" s="372"/>
      <c r="F2742" s="372"/>
      <c r="G2742" s="440"/>
      <c r="H2742" s="440"/>
      <c r="I2742" s="440"/>
      <c r="J2742" s="440"/>
      <c r="K2742" s="41"/>
      <c r="L2742" s="41"/>
      <c r="N2742" s="41"/>
      <c r="R2742" s="41"/>
      <c r="S2742" s="41"/>
      <c r="U2742" s="440"/>
      <c r="V2742" s="440"/>
    </row>
    <row r="2743" spans="1:22" x14ac:dyDescent="0.2">
      <c r="A2743" s="123"/>
      <c r="B2743" s="333"/>
      <c r="C2743" s="345"/>
      <c r="D2743" s="345"/>
      <c r="E2743" s="372"/>
      <c r="F2743" s="372"/>
      <c r="G2743" s="440"/>
      <c r="H2743" s="440"/>
      <c r="I2743" s="440"/>
      <c r="J2743" s="440"/>
      <c r="K2743" s="41"/>
      <c r="L2743" s="41"/>
      <c r="N2743" s="41"/>
      <c r="R2743" s="41"/>
      <c r="S2743" s="41"/>
      <c r="U2743" s="440"/>
      <c r="V2743" s="440"/>
    </row>
    <row r="2744" spans="1:22" x14ac:dyDescent="0.2">
      <c r="A2744" s="123"/>
      <c r="B2744" s="333"/>
      <c r="C2744" s="345"/>
      <c r="D2744" s="345"/>
      <c r="E2744" s="372"/>
      <c r="F2744" s="372"/>
      <c r="G2744" s="440"/>
      <c r="H2744" s="440"/>
      <c r="I2744" s="440"/>
      <c r="J2744" s="440"/>
      <c r="K2744" s="41"/>
      <c r="L2744" s="41"/>
      <c r="N2744" s="41"/>
      <c r="R2744" s="41"/>
      <c r="S2744" s="41"/>
      <c r="U2744" s="440"/>
      <c r="V2744" s="440"/>
    </row>
    <row r="2745" spans="1:22" x14ac:dyDescent="0.2">
      <c r="A2745" s="123"/>
      <c r="B2745" s="333"/>
      <c r="C2745" s="345"/>
      <c r="D2745" s="345"/>
      <c r="E2745" s="372"/>
      <c r="F2745" s="372"/>
      <c r="G2745" s="440"/>
      <c r="H2745" s="440"/>
      <c r="I2745" s="440"/>
      <c r="J2745" s="440"/>
      <c r="K2745" s="41"/>
      <c r="L2745" s="41"/>
      <c r="N2745" s="41"/>
      <c r="R2745" s="41"/>
      <c r="S2745" s="41"/>
      <c r="U2745" s="440"/>
      <c r="V2745" s="440"/>
    </row>
    <row r="2746" spans="1:22" x14ac:dyDescent="0.2">
      <c r="A2746" s="123"/>
      <c r="B2746" s="333"/>
      <c r="C2746" s="345"/>
      <c r="D2746" s="345"/>
      <c r="E2746" s="372"/>
      <c r="F2746" s="372"/>
      <c r="G2746" s="440"/>
      <c r="H2746" s="440"/>
      <c r="I2746" s="440"/>
      <c r="J2746" s="440"/>
      <c r="K2746" s="41"/>
      <c r="L2746" s="41"/>
      <c r="N2746" s="41"/>
      <c r="R2746" s="41"/>
      <c r="S2746" s="41"/>
      <c r="U2746" s="440"/>
      <c r="V2746" s="440"/>
    </row>
    <row r="2747" spans="1:22" x14ac:dyDescent="0.2">
      <c r="A2747" s="123"/>
      <c r="B2747" s="333"/>
      <c r="C2747" s="345"/>
      <c r="D2747" s="345"/>
      <c r="E2747" s="372"/>
      <c r="F2747" s="372"/>
      <c r="G2747" s="440"/>
      <c r="H2747" s="440"/>
      <c r="I2747" s="440"/>
      <c r="J2747" s="440"/>
      <c r="K2747" s="41"/>
      <c r="L2747" s="41"/>
      <c r="N2747" s="41"/>
      <c r="R2747" s="41"/>
      <c r="S2747" s="41"/>
      <c r="U2747" s="440"/>
      <c r="V2747" s="440"/>
    </row>
    <row r="2748" spans="1:22" x14ac:dyDescent="0.2">
      <c r="A2748" s="123"/>
      <c r="B2748" s="333"/>
      <c r="C2748" s="345"/>
      <c r="D2748" s="345"/>
      <c r="E2748" s="372"/>
      <c r="F2748" s="372"/>
      <c r="G2748" s="440"/>
      <c r="H2748" s="440"/>
      <c r="I2748" s="440"/>
      <c r="J2748" s="440"/>
      <c r="K2748" s="41"/>
      <c r="L2748" s="41"/>
      <c r="N2748" s="41"/>
      <c r="R2748" s="41"/>
      <c r="S2748" s="41"/>
      <c r="U2748" s="440"/>
      <c r="V2748" s="440"/>
    </row>
    <row r="2749" spans="1:22" x14ac:dyDescent="0.2">
      <c r="A2749" s="123"/>
      <c r="B2749" s="333"/>
      <c r="C2749" s="345"/>
      <c r="D2749" s="345"/>
      <c r="E2749" s="372"/>
      <c r="F2749" s="372"/>
      <c r="G2749" s="440"/>
      <c r="H2749" s="440"/>
      <c r="I2749" s="440"/>
      <c r="J2749" s="440"/>
      <c r="K2749" s="41"/>
      <c r="L2749" s="41"/>
      <c r="N2749" s="41"/>
      <c r="R2749" s="41"/>
      <c r="S2749" s="41"/>
      <c r="U2749" s="440"/>
      <c r="V2749" s="440"/>
    </row>
    <row r="2750" spans="1:22" x14ac:dyDescent="0.2">
      <c r="A2750" s="123"/>
      <c r="B2750" s="333"/>
      <c r="C2750" s="345"/>
      <c r="D2750" s="345"/>
      <c r="E2750" s="372"/>
      <c r="F2750" s="372"/>
      <c r="G2750" s="440"/>
      <c r="H2750" s="440"/>
      <c r="I2750" s="440"/>
      <c r="J2750" s="440"/>
      <c r="K2750" s="41"/>
      <c r="L2750" s="41"/>
      <c r="N2750" s="41"/>
      <c r="R2750" s="41"/>
      <c r="S2750" s="41"/>
      <c r="U2750" s="440"/>
      <c r="V2750" s="440"/>
    </row>
    <row r="2751" spans="1:22" x14ac:dyDescent="0.2">
      <c r="A2751" s="123"/>
      <c r="B2751" s="333"/>
      <c r="C2751" s="345"/>
      <c r="D2751" s="345"/>
      <c r="E2751" s="372"/>
      <c r="F2751" s="372"/>
      <c r="G2751" s="440"/>
      <c r="H2751" s="440"/>
      <c r="I2751" s="440"/>
      <c r="J2751" s="440"/>
      <c r="K2751" s="41"/>
      <c r="L2751" s="41"/>
      <c r="N2751" s="41"/>
      <c r="R2751" s="41"/>
      <c r="S2751" s="41"/>
      <c r="U2751" s="440"/>
      <c r="V2751" s="440"/>
    </row>
    <row r="2752" spans="1:22" x14ac:dyDescent="0.2">
      <c r="A2752" s="123"/>
      <c r="B2752" s="333"/>
      <c r="C2752" s="345"/>
      <c r="D2752" s="345"/>
      <c r="E2752" s="372"/>
      <c r="F2752" s="372"/>
      <c r="G2752" s="440"/>
      <c r="H2752" s="440"/>
      <c r="I2752" s="440"/>
      <c r="J2752" s="440"/>
      <c r="K2752" s="41"/>
      <c r="L2752" s="41"/>
      <c r="N2752" s="41"/>
      <c r="R2752" s="41"/>
      <c r="S2752" s="41"/>
      <c r="U2752" s="440"/>
      <c r="V2752" s="440"/>
    </row>
    <row r="2753" spans="1:22" x14ac:dyDescent="0.2">
      <c r="A2753" s="123"/>
      <c r="B2753" s="333"/>
      <c r="C2753" s="345"/>
      <c r="D2753" s="345"/>
      <c r="E2753" s="372"/>
      <c r="F2753" s="372"/>
      <c r="G2753" s="440"/>
      <c r="H2753" s="440"/>
      <c r="I2753" s="440"/>
      <c r="J2753" s="440"/>
      <c r="K2753" s="41"/>
      <c r="L2753" s="41"/>
      <c r="N2753" s="41"/>
      <c r="R2753" s="41"/>
      <c r="S2753" s="41"/>
      <c r="U2753" s="440"/>
      <c r="V2753" s="440"/>
    </row>
    <row r="2754" spans="1:22" x14ac:dyDescent="0.2">
      <c r="A2754" s="123"/>
      <c r="B2754" s="333"/>
      <c r="C2754" s="345"/>
      <c r="D2754" s="345"/>
      <c r="E2754" s="372"/>
      <c r="F2754" s="372"/>
      <c r="G2754" s="440"/>
      <c r="H2754" s="440"/>
      <c r="I2754" s="440"/>
      <c r="J2754" s="440"/>
      <c r="K2754" s="41"/>
      <c r="L2754" s="41"/>
      <c r="N2754" s="41"/>
      <c r="R2754" s="41"/>
      <c r="S2754" s="41"/>
      <c r="U2754" s="440"/>
      <c r="V2754" s="440"/>
    </row>
    <row r="2755" spans="1:22" x14ac:dyDescent="0.2">
      <c r="A2755" s="123"/>
      <c r="B2755" s="333"/>
      <c r="C2755" s="345"/>
      <c r="D2755" s="345"/>
      <c r="E2755" s="372"/>
      <c r="F2755" s="372"/>
      <c r="G2755" s="440"/>
      <c r="H2755" s="440"/>
      <c r="I2755" s="440"/>
      <c r="J2755" s="440"/>
      <c r="K2755" s="41"/>
      <c r="L2755" s="41"/>
      <c r="N2755" s="41"/>
      <c r="R2755" s="41"/>
      <c r="S2755" s="41"/>
      <c r="U2755" s="440"/>
      <c r="V2755" s="440"/>
    </row>
    <row r="2756" spans="1:22" x14ac:dyDescent="0.2">
      <c r="A2756" s="123"/>
      <c r="B2756" s="333"/>
      <c r="C2756" s="345"/>
      <c r="D2756" s="345"/>
      <c r="E2756" s="372"/>
      <c r="F2756" s="372"/>
      <c r="G2756" s="440"/>
      <c r="H2756" s="440"/>
      <c r="I2756" s="440"/>
      <c r="J2756" s="440"/>
      <c r="K2756" s="41"/>
      <c r="L2756" s="41"/>
      <c r="N2756" s="41"/>
      <c r="R2756" s="41"/>
      <c r="S2756" s="41"/>
      <c r="U2756" s="440"/>
      <c r="V2756" s="440"/>
    </row>
    <row r="2757" spans="1:22" x14ac:dyDescent="0.2">
      <c r="A2757" s="123"/>
      <c r="B2757" s="333"/>
      <c r="C2757" s="345"/>
      <c r="D2757" s="345"/>
      <c r="E2757" s="372"/>
      <c r="F2757" s="372"/>
      <c r="G2757" s="440"/>
      <c r="H2757" s="440"/>
      <c r="I2757" s="440"/>
      <c r="J2757" s="440"/>
      <c r="K2757" s="41"/>
      <c r="L2757" s="41"/>
      <c r="N2757" s="41"/>
      <c r="R2757" s="41"/>
      <c r="S2757" s="41"/>
      <c r="U2757" s="440"/>
      <c r="V2757" s="440"/>
    </row>
    <row r="2758" spans="1:22" x14ac:dyDescent="0.2">
      <c r="A2758" s="123"/>
      <c r="B2758" s="333"/>
      <c r="C2758" s="345"/>
      <c r="D2758" s="345"/>
      <c r="E2758" s="372"/>
      <c r="F2758" s="372"/>
      <c r="G2758" s="440"/>
      <c r="H2758" s="440"/>
      <c r="I2758" s="440"/>
      <c r="J2758" s="440"/>
      <c r="K2758" s="41"/>
      <c r="L2758" s="41"/>
      <c r="N2758" s="41"/>
      <c r="R2758" s="41"/>
      <c r="S2758" s="41"/>
      <c r="U2758" s="440"/>
      <c r="V2758" s="440"/>
    </row>
    <row r="2759" spans="1:22" x14ac:dyDescent="0.2">
      <c r="A2759" s="123"/>
      <c r="B2759" s="333"/>
      <c r="C2759" s="345"/>
      <c r="D2759" s="345"/>
      <c r="E2759" s="372"/>
      <c r="F2759" s="372"/>
      <c r="G2759" s="440"/>
      <c r="H2759" s="440"/>
      <c r="I2759" s="440"/>
      <c r="J2759" s="440"/>
      <c r="K2759" s="41"/>
      <c r="L2759" s="41"/>
      <c r="N2759" s="41"/>
      <c r="R2759" s="41"/>
      <c r="S2759" s="41"/>
      <c r="U2759" s="440"/>
      <c r="V2759" s="440"/>
    </row>
    <row r="2760" spans="1:22" x14ac:dyDescent="0.2">
      <c r="A2760" s="123"/>
      <c r="B2760" s="333"/>
      <c r="C2760" s="345"/>
      <c r="D2760" s="345"/>
      <c r="E2760" s="372"/>
      <c r="F2760" s="372"/>
      <c r="G2760" s="440"/>
      <c r="H2760" s="440"/>
      <c r="I2760" s="440"/>
      <c r="J2760" s="440"/>
      <c r="K2760" s="41"/>
      <c r="L2760" s="41"/>
      <c r="N2760" s="41"/>
      <c r="R2760" s="41"/>
      <c r="S2760" s="41"/>
      <c r="U2760" s="440"/>
      <c r="V2760" s="440"/>
    </row>
    <row r="2761" spans="1:22" x14ac:dyDescent="0.2">
      <c r="A2761" s="123"/>
      <c r="B2761" s="333"/>
      <c r="C2761" s="345"/>
      <c r="D2761" s="345"/>
      <c r="E2761" s="372"/>
      <c r="F2761" s="372"/>
      <c r="G2761" s="440"/>
      <c r="H2761" s="440"/>
      <c r="I2761" s="440"/>
      <c r="J2761" s="440"/>
      <c r="K2761" s="41"/>
      <c r="L2761" s="41"/>
      <c r="N2761" s="41"/>
      <c r="R2761" s="41"/>
      <c r="S2761" s="41"/>
      <c r="U2761" s="440"/>
      <c r="V2761" s="440"/>
    </row>
    <row r="2762" spans="1:22" x14ac:dyDescent="0.2">
      <c r="A2762" s="123"/>
      <c r="B2762" s="333"/>
      <c r="C2762" s="345"/>
      <c r="D2762" s="345"/>
      <c r="E2762" s="372"/>
      <c r="F2762" s="372"/>
      <c r="G2762" s="440"/>
      <c r="H2762" s="440"/>
      <c r="I2762" s="440"/>
      <c r="J2762" s="440"/>
      <c r="K2762" s="41"/>
      <c r="L2762" s="41"/>
      <c r="N2762" s="41"/>
      <c r="R2762" s="41"/>
      <c r="S2762" s="41"/>
      <c r="U2762" s="440"/>
      <c r="V2762" s="440"/>
    </row>
    <row r="2763" spans="1:22" x14ac:dyDescent="0.2">
      <c r="A2763" s="123"/>
      <c r="B2763" s="333"/>
      <c r="C2763" s="345"/>
      <c r="D2763" s="345"/>
      <c r="E2763" s="372"/>
      <c r="F2763" s="372"/>
      <c r="G2763" s="440"/>
      <c r="H2763" s="440"/>
      <c r="I2763" s="440"/>
      <c r="J2763" s="440"/>
      <c r="K2763" s="41"/>
      <c r="L2763" s="41"/>
      <c r="N2763" s="41"/>
      <c r="R2763" s="41"/>
      <c r="S2763" s="41"/>
      <c r="U2763" s="440"/>
      <c r="V2763" s="440"/>
    </row>
    <row r="2764" spans="1:22" x14ac:dyDescent="0.2">
      <c r="A2764" s="123"/>
      <c r="B2764" s="333"/>
      <c r="C2764" s="345"/>
      <c r="D2764" s="345"/>
      <c r="E2764" s="372"/>
      <c r="F2764" s="372"/>
      <c r="G2764" s="440"/>
      <c r="H2764" s="440"/>
      <c r="I2764" s="440"/>
      <c r="J2764" s="440"/>
      <c r="K2764" s="41"/>
      <c r="L2764" s="41"/>
      <c r="N2764" s="41"/>
      <c r="R2764" s="41"/>
      <c r="S2764" s="41"/>
      <c r="U2764" s="440"/>
      <c r="V2764" s="440"/>
    </row>
    <row r="2765" spans="1:22" x14ac:dyDescent="0.2">
      <c r="A2765" s="123"/>
      <c r="B2765" s="333"/>
      <c r="C2765" s="345"/>
      <c r="D2765" s="345"/>
      <c r="E2765" s="372"/>
      <c r="F2765" s="372"/>
      <c r="G2765" s="440"/>
      <c r="H2765" s="440"/>
      <c r="I2765" s="440"/>
      <c r="J2765" s="440"/>
      <c r="K2765" s="41"/>
      <c r="L2765" s="41"/>
      <c r="N2765" s="41"/>
      <c r="R2765" s="41"/>
      <c r="S2765" s="41"/>
      <c r="U2765" s="440"/>
      <c r="V2765" s="440"/>
    </row>
    <row r="2766" spans="1:22" x14ac:dyDescent="0.2">
      <c r="A2766" s="123"/>
      <c r="B2766" s="333"/>
      <c r="C2766" s="345"/>
      <c r="D2766" s="345"/>
      <c r="E2766" s="372"/>
      <c r="F2766" s="372"/>
      <c r="G2766" s="440"/>
      <c r="H2766" s="440"/>
      <c r="I2766" s="440"/>
      <c r="J2766" s="440"/>
      <c r="K2766" s="41"/>
      <c r="L2766" s="41"/>
      <c r="N2766" s="41"/>
      <c r="R2766" s="41"/>
      <c r="S2766" s="41"/>
      <c r="U2766" s="440"/>
      <c r="V2766" s="440"/>
    </row>
    <row r="2767" spans="1:22" x14ac:dyDescent="0.2">
      <c r="A2767" s="123"/>
      <c r="B2767" s="333"/>
      <c r="C2767" s="345"/>
      <c r="D2767" s="345"/>
      <c r="E2767" s="372"/>
      <c r="F2767" s="372"/>
      <c r="G2767" s="440"/>
      <c r="H2767" s="440"/>
      <c r="I2767" s="440"/>
      <c r="J2767" s="440"/>
      <c r="K2767" s="41"/>
      <c r="L2767" s="41"/>
      <c r="N2767" s="41"/>
      <c r="R2767" s="41"/>
      <c r="S2767" s="41"/>
      <c r="U2767" s="440"/>
      <c r="V2767" s="440"/>
    </row>
    <row r="2768" spans="1:22" x14ac:dyDescent="0.2">
      <c r="A2768" s="123"/>
      <c r="B2768" s="333"/>
      <c r="C2768" s="345"/>
      <c r="D2768" s="345"/>
      <c r="E2768" s="372"/>
      <c r="F2768" s="372"/>
      <c r="G2768" s="440"/>
      <c r="H2768" s="440"/>
      <c r="I2768" s="440"/>
      <c r="J2768" s="440"/>
      <c r="K2768" s="41"/>
      <c r="L2768" s="41"/>
      <c r="N2768" s="41"/>
      <c r="R2768" s="41"/>
      <c r="S2768" s="41"/>
      <c r="U2768" s="440"/>
      <c r="V2768" s="440"/>
    </row>
    <row r="2769" spans="1:22" x14ac:dyDescent="0.2">
      <c r="A2769" s="123"/>
      <c r="B2769" s="333"/>
      <c r="C2769" s="345"/>
      <c r="D2769" s="345"/>
      <c r="E2769" s="372"/>
      <c r="F2769" s="372"/>
      <c r="G2769" s="440"/>
      <c r="H2769" s="440"/>
      <c r="I2769" s="440"/>
      <c r="J2769" s="440"/>
      <c r="K2769" s="41"/>
      <c r="L2769" s="41"/>
      <c r="N2769" s="41"/>
      <c r="R2769" s="41"/>
      <c r="S2769" s="41"/>
      <c r="U2769" s="440"/>
      <c r="V2769" s="440"/>
    </row>
    <row r="2770" spans="1:22" x14ac:dyDescent="0.2">
      <c r="A2770" s="123"/>
      <c r="B2770" s="333"/>
      <c r="C2770" s="345"/>
      <c r="D2770" s="345"/>
      <c r="E2770" s="372"/>
      <c r="F2770" s="372"/>
      <c r="G2770" s="440"/>
      <c r="H2770" s="440"/>
      <c r="I2770" s="440"/>
      <c r="J2770" s="440"/>
      <c r="K2770" s="41"/>
      <c r="L2770" s="41"/>
      <c r="N2770" s="41"/>
      <c r="R2770" s="41"/>
      <c r="S2770" s="41"/>
      <c r="U2770" s="440"/>
      <c r="V2770" s="440"/>
    </row>
    <row r="2771" spans="1:22" x14ac:dyDescent="0.2">
      <c r="A2771" s="123"/>
      <c r="B2771" s="333"/>
      <c r="C2771" s="345"/>
      <c r="D2771" s="345"/>
      <c r="E2771" s="372"/>
      <c r="F2771" s="372"/>
      <c r="G2771" s="440"/>
      <c r="H2771" s="440"/>
      <c r="I2771" s="440"/>
      <c r="J2771" s="440"/>
      <c r="K2771" s="41"/>
      <c r="L2771" s="41"/>
      <c r="N2771" s="41"/>
      <c r="R2771" s="41"/>
      <c r="S2771" s="41"/>
      <c r="U2771" s="440"/>
      <c r="V2771" s="440"/>
    </row>
    <row r="2772" spans="1:22" x14ac:dyDescent="0.2">
      <c r="A2772" s="123"/>
      <c r="B2772" s="333"/>
      <c r="C2772" s="345"/>
      <c r="D2772" s="345"/>
      <c r="E2772" s="372"/>
      <c r="F2772" s="372"/>
      <c r="G2772" s="440"/>
      <c r="H2772" s="440"/>
      <c r="I2772" s="440"/>
      <c r="J2772" s="440"/>
      <c r="K2772" s="41"/>
      <c r="L2772" s="41"/>
      <c r="N2772" s="41"/>
      <c r="R2772" s="41"/>
      <c r="S2772" s="41"/>
      <c r="U2772" s="440"/>
      <c r="V2772" s="440"/>
    </row>
    <row r="2773" spans="1:22" x14ac:dyDescent="0.2">
      <c r="A2773" s="123"/>
      <c r="B2773" s="333"/>
      <c r="C2773" s="345"/>
      <c r="D2773" s="345"/>
      <c r="E2773" s="372"/>
      <c r="F2773" s="372"/>
      <c r="G2773" s="440"/>
      <c r="H2773" s="440"/>
      <c r="I2773" s="440"/>
      <c r="J2773" s="440"/>
      <c r="K2773" s="41"/>
      <c r="L2773" s="41"/>
      <c r="N2773" s="41"/>
      <c r="R2773" s="41"/>
      <c r="S2773" s="41"/>
      <c r="U2773" s="440"/>
      <c r="V2773" s="440"/>
    </row>
    <row r="2774" spans="1:22" x14ac:dyDescent="0.2">
      <c r="A2774" s="123"/>
      <c r="B2774" s="333"/>
      <c r="C2774" s="345"/>
      <c r="D2774" s="345"/>
      <c r="E2774" s="372"/>
      <c r="F2774" s="372"/>
      <c r="G2774" s="440"/>
      <c r="H2774" s="440"/>
      <c r="I2774" s="440"/>
      <c r="J2774" s="440"/>
      <c r="K2774" s="41"/>
      <c r="L2774" s="41"/>
      <c r="N2774" s="41"/>
      <c r="R2774" s="41"/>
      <c r="S2774" s="41"/>
      <c r="U2774" s="440"/>
      <c r="V2774" s="440"/>
    </row>
    <row r="2775" spans="1:22" x14ac:dyDescent="0.2">
      <c r="A2775" s="123"/>
      <c r="B2775" s="333"/>
      <c r="C2775" s="345"/>
      <c r="D2775" s="345"/>
      <c r="E2775" s="372"/>
      <c r="F2775" s="372"/>
      <c r="G2775" s="440"/>
      <c r="H2775" s="440"/>
      <c r="I2775" s="440"/>
      <c r="J2775" s="440"/>
      <c r="K2775" s="41"/>
      <c r="L2775" s="41"/>
      <c r="N2775" s="41"/>
      <c r="R2775" s="41"/>
      <c r="S2775" s="41"/>
      <c r="U2775" s="440"/>
      <c r="V2775" s="440"/>
    </row>
    <row r="2776" spans="1:22" x14ac:dyDescent="0.2">
      <c r="A2776" s="123"/>
      <c r="B2776" s="333"/>
      <c r="C2776" s="345"/>
      <c r="D2776" s="345"/>
      <c r="E2776" s="372"/>
      <c r="F2776" s="372"/>
      <c r="G2776" s="440"/>
      <c r="H2776" s="440"/>
      <c r="I2776" s="440"/>
      <c r="J2776" s="440"/>
      <c r="K2776" s="41"/>
      <c r="L2776" s="41"/>
      <c r="N2776" s="41"/>
      <c r="R2776" s="41"/>
      <c r="S2776" s="41"/>
      <c r="U2776" s="440"/>
      <c r="V2776" s="440"/>
    </row>
    <row r="2777" spans="1:22" x14ac:dyDescent="0.2">
      <c r="A2777" s="123"/>
      <c r="B2777" s="333"/>
      <c r="C2777" s="345"/>
      <c r="D2777" s="345"/>
      <c r="E2777" s="372"/>
      <c r="F2777" s="372"/>
      <c r="G2777" s="440"/>
      <c r="H2777" s="440"/>
      <c r="I2777" s="440"/>
      <c r="J2777" s="440"/>
      <c r="K2777" s="41"/>
      <c r="L2777" s="41"/>
      <c r="N2777" s="41"/>
      <c r="R2777" s="41"/>
      <c r="S2777" s="41"/>
      <c r="U2777" s="440"/>
      <c r="V2777" s="440"/>
    </row>
    <row r="2778" spans="1:22" x14ac:dyDescent="0.2">
      <c r="A2778" s="123"/>
      <c r="B2778" s="333"/>
      <c r="C2778" s="345"/>
      <c r="D2778" s="345"/>
      <c r="E2778" s="372"/>
      <c r="F2778" s="372"/>
      <c r="G2778" s="440"/>
      <c r="H2778" s="440"/>
      <c r="I2778" s="440"/>
      <c r="J2778" s="440"/>
      <c r="K2778" s="41"/>
      <c r="L2778" s="41"/>
      <c r="N2778" s="41"/>
      <c r="R2778" s="41"/>
      <c r="S2778" s="41"/>
      <c r="U2778" s="440"/>
      <c r="V2778" s="440"/>
    </row>
    <row r="2779" spans="1:22" x14ac:dyDescent="0.2">
      <c r="A2779" s="123"/>
      <c r="B2779" s="333"/>
      <c r="C2779" s="345"/>
      <c r="D2779" s="345"/>
      <c r="E2779" s="372"/>
      <c r="F2779" s="372"/>
      <c r="G2779" s="440"/>
      <c r="H2779" s="440"/>
      <c r="I2779" s="440"/>
      <c r="J2779" s="440"/>
      <c r="K2779" s="41"/>
      <c r="L2779" s="41"/>
      <c r="N2779" s="41"/>
      <c r="R2779" s="41"/>
      <c r="S2779" s="41"/>
      <c r="U2779" s="440"/>
      <c r="V2779" s="440"/>
    </row>
    <row r="2780" spans="1:22" x14ac:dyDescent="0.2">
      <c r="A2780" s="123"/>
      <c r="B2780" s="333"/>
      <c r="C2780" s="345"/>
      <c r="D2780" s="345"/>
      <c r="E2780" s="372"/>
      <c r="F2780" s="372"/>
      <c r="G2780" s="440"/>
      <c r="H2780" s="440"/>
      <c r="I2780" s="440"/>
      <c r="J2780" s="440"/>
      <c r="K2780" s="41"/>
      <c r="L2780" s="41"/>
      <c r="N2780" s="41"/>
      <c r="R2780" s="41"/>
      <c r="S2780" s="41"/>
      <c r="U2780" s="440"/>
      <c r="V2780" s="440"/>
    </row>
    <row r="2781" spans="1:22" x14ac:dyDescent="0.2">
      <c r="A2781" s="123"/>
      <c r="B2781" s="333"/>
      <c r="C2781" s="345"/>
      <c r="D2781" s="345"/>
      <c r="E2781" s="372"/>
      <c r="F2781" s="372"/>
      <c r="G2781" s="440"/>
      <c r="H2781" s="440"/>
      <c r="I2781" s="440"/>
      <c r="J2781" s="440"/>
      <c r="K2781" s="41"/>
      <c r="L2781" s="41"/>
      <c r="N2781" s="41"/>
      <c r="R2781" s="41"/>
      <c r="S2781" s="41"/>
      <c r="U2781" s="440"/>
      <c r="V2781" s="440"/>
    </row>
    <row r="2782" spans="1:22" x14ac:dyDescent="0.2">
      <c r="A2782" s="123"/>
      <c r="B2782" s="333"/>
      <c r="C2782" s="345"/>
      <c r="D2782" s="345"/>
      <c r="E2782" s="372"/>
      <c r="F2782" s="372"/>
      <c r="G2782" s="440"/>
      <c r="H2782" s="440"/>
      <c r="I2782" s="440"/>
      <c r="J2782" s="440"/>
      <c r="K2782" s="41"/>
      <c r="L2782" s="41"/>
      <c r="N2782" s="41"/>
      <c r="R2782" s="41"/>
      <c r="S2782" s="41"/>
      <c r="U2782" s="440"/>
      <c r="V2782" s="440"/>
    </row>
    <row r="2783" spans="1:22" x14ac:dyDescent="0.2">
      <c r="A2783" s="123"/>
      <c r="B2783" s="333"/>
      <c r="C2783" s="345"/>
      <c r="D2783" s="345"/>
      <c r="E2783" s="372"/>
      <c r="F2783" s="372"/>
      <c r="G2783" s="440"/>
      <c r="H2783" s="440"/>
      <c r="I2783" s="440"/>
      <c r="J2783" s="440"/>
      <c r="K2783" s="41"/>
      <c r="L2783" s="41"/>
      <c r="N2783" s="41"/>
      <c r="R2783" s="41"/>
      <c r="S2783" s="41"/>
      <c r="U2783" s="440"/>
      <c r="V2783" s="440"/>
    </row>
    <row r="2784" spans="1:22" x14ac:dyDescent="0.2">
      <c r="A2784" s="123"/>
      <c r="B2784" s="333"/>
      <c r="C2784" s="345"/>
      <c r="D2784" s="345"/>
      <c r="E2784" s="372"/>
      <c r="F2784" s="372"/>
      <c r="G2784" s="440"/>
      <c r="H2784" s="440"/>
      <c r="I2784" s="440"/>
      <c r="J2784" s="440"/>
      <c r="K2784" s="41"/>
      <c r="L2784" s="41"/>
      <c r="N2784" s="41"/>
      <c r="R2784" s="41"/>
      <c r="S2784" s="41"/>
      <c r="U2784" s="440"/>
      <c r="V2784" s="440"/>
    </row>
    <row r="2785" spans="1:22" x14ac:dyDescent="0.2">
      <c r="A2785" s="123"/>
      <c r="B2785" s="333"/>
      <c r="C2785" s="345"/>
      <c r="D2785" s="345"/>
      <c r="E2785" s="372"/>
      <c r="F2785" s="372"/>
      <c r="G2785" s="440"/>
      <c r="H2785" s="440"/>
      <c r="I2785" s="440"/>
      <c r="J2785" s="440"/>
      <c r="K2785" s="41"/>
      <c r="L2785" s="41"/>
      <c r="N2785" s="41"/>
      <c r="R2785" s="41"/>
      <c r="S2785" s="41"/>
      <c r="U2785" s="440"/>
      <c r="V2785" s="440"/>
    </row>
    <row r="2786" spans="1:22" x14ac:dyDescent="0.2">
      <c r="A2786" s="123"/>
      <c r="B2786" s="333"/>
      <c r="C2786" s="345"/>
      <c r="D2786" s="345"/>
      <c r="E2786" s="372"/>
      <c r="F2786" s="372"/>
      <c r="G2786" s="440"/>
      <c r="H2786" s="440"/>
      <c r="I2786" s="440"/>
      <c r="J2786" s="440"/>
      <c r="K2786" s="41"/>
      <c r="L2786" s="41"/>
      <c r="N2786" s="41"/>
      <c r="R2786" s="41"/>
      <c r="S2786" s="41"/>
      <c r="U2786" s="440"/>
      <c r="V2786" s="440"/>
    </row>
    <row r="2787" spans="1:22" x14ac:dyDescent="0.2">
      <c r="A2787" s="123"/>
      <c r="B2787" s="333"/>
      <c r="C2787" s="345"/>
      <c r="D2787" s="345"/>
      <c r="E2787" s="372"/>
      <c r="F2787" s="372"/>
      <c r="G2787" s="440"/>
      <c r="H2787" s="440"/>
      <c r="I2787" s="440"/>
      <c r="J2787" s="440"/>
      <c r="K2787" s="41"/>
      <c r="L2787" s="41"/>
      <c r="N2787" s="41"/>
      <c r="R2787" s="41"/>
      <c r="S2787" s="41"/>
      <c r="U2787" s="440"/>
      <c r="V2787" s="440"/>
    </row>
    <row r="2788" spans="1:22" x14ac:dyDescent="0.2">
      <c r="A2788" s="123"/>
      <c r="B2788" s="333"/>
      <c r="C2788" s="345"/>
      <c r="D2788" s="345"/>
      <c r="E2788" s="372"/>
      <c r="F2788" s="372"/>
      <c r="G2788" s="440"/>
      <c r="H2788" s="440"/>
      <c r="I2788" s="440"/>
      <c r="J2788" s="440"/>
      <c r="K2788" s="41"/>
      <c r="L2788" s="41"/>
      <c r="N2788" s="41"/>
      <c r="R2788" s="41"/>
      <c r="S2788" s="41"/>
      <c r="U2788" s="440"/>
      <c r="V2788" s="440"/>
    </row>
    <row r="2789" spans="1:22" x14ac:dyDescent="0.2">
      <c r="A2789" s="123"/>
      <c r="B2789" s="333"/>
      <c r="C2789" s="345"/>
      <c r="D2789" s="345"/>
      <c r="E2789" s="372"/>
      <c r="F2789" s="372"/>
      <c r="G2789" s="440"/>
      <c r="H2789" s="440"/>
      <c r="I2789" s="440"/>
      <c r="J2789" s="440"/>
      <c r="K2789" s="41"/>
      <c r="L2789" s="41"/>
      <c r="N2789" s="41"/>
      <c r="R2789" s="41"/>
      <c r="S2789" s="41"/>
      <c r="U2789" s="440"/>
      <c r="V2789" s="440"/>
    </row>
    <row r="2790" spans="1:22" x14ac:dyDescent="0.2">
      <c r="A2790" s="123"/>
      <c r="B2790" s="333"/>
      <c r="C2790" s="345"/>
      <c r="D2790" s="345"/>
      <c r="E2790" s="372"/>
      <c r="F2790" s="372"/>
      <c r="G2790" s="440"/>
      <c r="H2790" s="440"/>
      <c r="I2790" s="440"/>
      <c r="J2790" s="440"/>
      <c r="K2790" s="41"/>
      <c r="L2790" s="41"/>
      <c r="N2790" s="41"/>
      <c r="R2790" s="41"/>
      <c r="S2790" s="41"/>
      <c r="U2790" s="440"/>
      <c r="V2790" s="440"/>
    </row>
    <row r="2791" spans="1:22" x14ac:dyDescent="0.2">
      <c r="A2791" s="123"/>
      <c r="B2791" s="333"/>
      <c r="C2791" s="345"/>
      <c r="D2791" s="345"/>
      <c r="E2791" s="372"/>
      <c r="F2791" s="372"/>
      <c r="G2791" s="440"/>
      <c r="H2791" s="440"/>
      <c r="I2791" s="440"/>
      <c r="J2791" s="440"/>
      <c r="K2791" s="41"/>
      <c r="L2791" s="41"/>
      <c r="N2791" s="41"/>
      <c r="R2791" s="41"/>
      <c r="S2791" s="41"/>
      <c r="U2791" s="440"/>
      <c r="V2791" s="440"/>
    </row>
    <row r="2792" spans="1:22" x14ac:dyDescent="0.2">
      <c r="A2792" s="123"/>
      <c r="B2792" s="333"/>
      <c r="C2792" s="345"/>
      <c r="D2792" s="345"/>
      <c r="E2792" s="372"/>
      <c r="F2792" s="372"/>
      <c r="G2792" s="440"/>
      <c r="H2792" s="440"/>
      <c r="I2792" s="440"/>
      <c r="J2792" s="440"/>
      <c r="K2792" s="41"/>
      <c r="L2792" s="41"/>
      <c r="N2792" s="41"/>
      <c r="R2792" s="41"/>
      <c r="S2792" s="41"/>
      <c r="U2792" s="440"/>
      <c r="V2792" s="440"/>
    </row>
    <row r="2793" spans="1:22" x14ac:dyDescent="0.2">
      <c r="A2793" s="123"/>
      <c r="B2793" s="333"/>
      <c r="C2793" s="345"/>
      <c r="D2793" s="345"/>
      <c r="E2793" s="372"/>
      <c r="F2793" s="372"/>
      <c r="G2793" s="440"/>
      <c r="H2793" s="440"/>
      <c r="I2793" s="440"/>
      <c r="J2793" s="440"/>
      <c r="K2793" s="41"/>
      <c r="L2793" s="41"/>
      <c r="N2793" s="41"/>
      <c r="R2793" s="41"/>
      <c r="S2793" s="41"/>
      <c r="U2793" s="440"/>
      <c r="V2793" s="440"/>
    </row>
    <row r="2794" spans="1:22" x14ac:dyDescent="0.2">
      <c r="A2794" s="123"/>
      <c r="B2794" s="333"/>
      <c r="C2794" s="345"/>
      <c r="D2794" s="345"/>
      <c r="E2794" s="372"/>
      <c r="F2794" s="372"/>
      <c r="G2794" s="440"/>
      <c r="H2794" s="440"/>
      <c r="I2794" s="440"/>
      <c r="J2794" s="440"/>
      <c r="K2794" s="41"/>
      <c r="L2794" s="41"/>
      <c r="N2794" s="41"/>
      <c r="R2794" s="41"/>
      <c r="S2794" s="41"/>
      <c r="U2794" s="440"/>
      <c r="V2794" s="440"/>
    </row>
    <row r="2795" spans="1:22" x14ac:dyDescent="0.2">
      <c r="A2795" s="123"/>
      <c r="B2795" s="333"/>
      <c r="C2795" s="345"/>
      <c r="D2795" s="345"/>
      <c r="E2795" s="372"/>
      <c r="F2795" s="372"/>
      <c r="G2795" s="440"/>
      <c r="H2795" s="440"/>
      <c r="I2795" s="440"/>
      <c r="J2795" s="440"/>
      <c r="K2795" s="41"/>
      <c r="L2795" s="41"/>
      <c r="N2795" s="41"/>
      <c r="R2795" s="41"/>
      <c r="S2795" s="41"/>
      <c r="U2795" s="440"/>
      <c r="V2795" s="440"/>
    </row>
    <row r="2796" spans="1:22" x14ac:dyDescent="0.2">
      <c r="A2796" s="123"/>
      <c r="B2796" s="333"/>
      <c r="C2796" s="345"/>
      <c r="D2796" s="345"/>
      <c r="E2796" s="372"/>
      <c r="F2796" s="372"/>
      <c r="G2796" s="440"/>
      <c r="H2796" s="440"/>
      <c r="I2796" s="440"/>
      <c r="J2796" s="440"/>
      <c r="K2796" s="41"/>
      <c r="L2796" s="41"/>
      <c r="N2796" s="41"/>
      <c r="R2796" s="41"/>
      <c r="S2796" s="41"/>
      <c r="U2796" s="440"/>
      <c r="V2796" s="440"/>
    </row>
    <row r="2797" spans="1:22" x14ac:dyDescent="0.2">
      <c r="A2797" s="123"/>
      <c r="B2797" s="333"/>
      <c r="C2797" s="345"/>
      <c r="D2797" s="345"/>
      <c r="E2797" s="372"/>
      <c r="F2797" s="372"/>
      <c r="G2797" s="440"/>
      <c r="H2797" s="440"/>
      <c r="I2797" s="440"/>
      <c r="J2797" s="440"/>
      <c r="K2797" s="41"/>
      <c r="L2797" s="41"/>
      <c r="N2797" s="41"/>
      <c r="R2797" s="41"/>
      <c r="S2797" s="41"/>
      <c r="U2797" s="440"/>
      <c r="V2797" s="440"/>
    </row>
    <row r="2798" spans="1:22" x14ac:dyDescent="0.2">
      <c r="A2798" s="123"/>
      <c r="B2798" s="333"/>
      <c r="C2798" s="345"/>
      <c r="D2798" s="345"/>
      <c r="E2798" s="372"/>
      <c r="F2798" s="372"/>
      <c r="G2798" s="440"/>
      <c r="H2798" s="440"/>
      <c r="I2798" s="440"/>
      <c r="J2798" s="440"/>
      <c r="K2798" s="41"/>
      <c r="L2798" s="41"/>
      <c r="N2798" s="41"/>
      <c r="R2798" s="41"/>
      <c r="S2798" s="41"/>
      <c r="U2798" s="440"/>
      <c r="V2798" s="440"/>
    </row>
    <row r="2799" spans="1:22" x14ac:dyDescent="0.2">
      <c r="A2799" s="123"/>
      <c r="B2799" s="333"/>
      <c r="C2799" s="345"/>
      <c r="D2799" s="345"/>
      <c r="E2799" s="372"/>
      <c r="F2799" s="372"/>
      <c r="G2799" s="440"/>
      <c r="H2799" s="440"/>
      <c r="I2799" s="440"/>
      <c r="J2799" s="440"/>
      <c r="K2799" s="41"/>
      <c r="L2799" s="41"/>
      <c r="N2799" s="41"/>
      <c r="R2799" s="41"/>
      <c r="S2799" s="41"/>
      <c r="U2799" s="440"/>
      <c r="V2799" s="440"/>
    </row>
    <row r="2800" spans="1:22" x14ac:dyDescent="0.2">
      <c r="A2800" s="123"/>
      <c r="B2800" s="333"/>
      <c r="C2800" s="345"/>
      <c r="D2800" s="345"/>
      <c r="E2800" s="372"/>
      <c r="F2800" s="372"/>
      <c r="G2800" s="440"/>
      <c r="H2800" s="440"/>
      <c r="I2800" s="440"/>
      <c r="J2800" s="440"/>
      <c r="K2800" s="41"/>
      <c r="L2800" s="41"/>
      <c r="N2800" s="41"/>
      <c r="R2800" s="41"/>
      <c r="S2800" s="41"/>
      <c r="U2800" s="440"/>
      <c r="V2800" s="440"/>
    </row>
    <row r="2801" spans="1:22" x14ac:dyDescent="0.2">
      <c r="A2801" s="123"/>
      <c r="B2801" s="333"/>
      <c r="C2801" s="345"/>
      <c r="D2801" s="345"/>
      <c r="E2801" s="372"/>
      <c r="F2801" s="372"/>
      <c r="G2801" s="440"/>
      <c r="H2801" s="440"/>
      <c r="I2801" s="440"/>
      <c r="J2801" s="440"/>
      <c r="K2801" s="41"/>
      <c r="L2801" s="41"/>
      <c r="N2801" s="41"/>
      <c r="R2801" s="41"/>
      <c r="S2801" s="41"/>
      <c r="U2801" s="440"/>
      <c r="V2801" s="440"/>
    </row>
    <row r="2802" spans="1:22" x14ac:dyDescent="0.2">
      <c r="A2802" s="123"/>
      <c r="B2802" s="333"/>
      <c r="C2802" s="345"/>
      <c r="D2802" s="345"/>
      <c r="E2802" s="372"/>
      <c r="F2802" s="372"/>
      <c r="G2802" s="440"/>
      <c r="H2802" s="440"/>
      <c r="I2802" s="440"/>
      <c r="J2802" s="440"/>
      <c r="K2802" s="41"/>
      <c r="L2802" s="41"/>
      <c r="N2802" s="41"/>
      <c r="R2802" s="41"/>
      <c r="S2802" s="41"/>
      <c r="U2802" s="440"/>
      <c r="V2802" s="440"/>
    </row>
    <row r="2803" spans="1:22" x14ac:dyDescent="0.2">
      <c r="A2803" s="123"/>
      <c r="B2803" s="333"/>
      <c r="C2803" s="345"/>
      <c r="D2803" s="345"/>
      <c r="E2803" s="372"/>
      <c r="F2803" s="372"/>
      <c r="G2803" s="440"/>
      <c r="H2803" s="440"/>
      <c r="I2803" s="440"/>
      <c r="J2803" s="440"/>
      <c r="K2803" s="41"/>
      <c r="L2803" s="41"/>
      <c r="N2803" s="41"/>
      <c r="R2803" s="41"/>
      <c r="S2803" s="41"/>
      <c r="U2803" s="440"/>
      <c r="V2803" s="440"/>
    </row>
    <row r="2804" spans="1:22" x14ac:dyDescent="0.2">
      <c r="A2804" s="123"/>
      <c r="B2804" s="333"/>
      <c r="C2804" s="345"/>
      <c r="D2804" s="345"/>
      <c r="E2804" s="372"/>
      <c r="F2804" s="372"/>
      <c r="G2804" s="440"/>
      <c r="H2804" s="440"/>
      <c r="I2804" s="440"/>
      <c r="J2804" s="440"/>
      <c r="K2804" s="41"/>
      <c r="L2804" s="41"/>
      <c r="N2804" s="41"/>
      <c r="R2804" s="41"/>
      <c r="S2804" s="41"/>
      <c r="U2804" s="440"/>
      <c r="V2804" s="440"/>
    </row>
    <row r="2805" spans="1:22" x14ac:dyDescent="0.2">
      <c r="A2805" s="123"/>
      <c r="B2805" s="333"/>
      <c r="C2805" s="345"/>
      <c r="D2805" s="345"/>
      <c r="E2805" s="372"/>
      <c r="F2805" s="372"/>
      <c r="G2805" s="440"/>
      <c r="H2805" s="440"/>
      <c r="I2805" s="440"/>
      <c r="J2805" s="440"/>
      <c r="K2805" s="41"/>
      <c r="L2805" s="41"/>
      <c r="N2805" s="41"/>
      <c r="R2805" s="41"/>
      <c r="S2805" s="41"/>
      <c r="U2805" s="440"/>
      <c r="V2805" s="440"/>
    </row>
    <row r="2806" spans="1:22" x14ac:dyDescent="0.2">
      <c r="A2806" s="123"/>
      <c r="B2806" s="333"/>
      <c r="C2806" s="345"/>
      <c r="D2806" s="345"/>
      <c r="E2806" s="372"/>
      <c r="F2806" s="372"/>
      <c r="G2806" s="440"/>
      <c r="H2806" s="440"/>
      <c r="I2806" s="440"/>
      <c r="J2806" s="440"/>
      <c r="K2806" s="41"/>
      <c r="L2806" s="41"/>
      <c r="N2806" s="41"/>
      <c r="R2806" s="41"/>
      <c r="S2806" s="41"/>
      <c r="U2806" s="440"/>
      <c r="V2806" s="440"/>
    </row>
    <row r="2807" spans="1:22" x14ac:dyDescent="0.2">
      <c r="A2807" s="123"/>
      <c r="B2807" s="333"/>
      <c r="C2807" s="345"/>
      <c r="D2807" s="345"/>
      <c r="E2807" s="372"/>
      <c r="F2807" s="372"/>
      <c r="G2807" s="440"/>
      <c r="H2807" s="440"/>
      <c r="I2807" s="440"/>
      <c r="J2807" s="440"/>
      <c r="K2807" s="41"/>
      <c r="L2807" s="41"/>
      <c r="N2807" s="41"/>
      <c r="R2807" s="41"/>
      <c r="S2807" s="41"/>
      <c r="U2807" s="440"/>
      <c r="V2807" s="440"/>
    </row>
    <row r="2808" spans="1:22" x14ac:dyDescent="0.2">
      <c r="A2808" s="123"/>
      <c r="B2808" s="333"/>
      <c r="C2808" s="345"/>
      <c r="D2808" s="345"/>
      <c r="E2808" s="372"/>
      <c r="F2808" s="372"/>
      <c r="G2808" s="440"/>
      <c r="H2808" s="440"/>
      <c r="I2808" s="440"/>
      <c r="J2808" s="440"/>
      <c r="K2808" s="41"/>
      <c r="L2808" s="41"/>
      <c r="N2808" s="41"/>
      <c r="R2808" s="41"/>
      <c r="S2808" s="41"/>
      <c r="U2808" s="440"/>
      <c r="V2808" s="440"/>
    </row>
    <row r="2809" spans="1:22" x14ac:dyDescent="0.2">
      <c r="A2809" s="123"/>
      <c r="B2809" s="333"/>
      <c r="C2809" s="345"/>
      <c r="D2809" s="345"/>
      <c r="E2809" s="372"/>
      <c r="F2809" s="372"/>
      <c r="G2809" s="440"/>
      <c r="H2809" s="440"/>
      <c r="I2809" s="440"/>
      <c r="J2809" s="440"/>
      <c r="K2809" s="41"/>
      <c r="L2809" s="41"/>
      <c r="N2809" s="41"/>
      <c r="R2809" s="41"/>
      <c r="S2809" s="41"/>
      <c r="U2809" s="440"/>
      <c r="V2809" s="440"/>
    </row>
    <row r="2810" spans="1:22" x14ac:dyDescent="0.2">
      <c r="A2810" s="123"/>
      <c r="B2810" s="333"/>
      <c r="C2810" s="345"/>
      <c r="D2810" s="345"/>
      <c r="E2810" s="372"/>
      <c r="F2810" s="372"/>
      <c r="G2810" s="440"/>
      <c r="H2810" s="440"/>
      <c r="I2810" s="440"/>
      <c r="J2810" s="440"/>
      <c r="K2810" s="41"/>
      <c r="L2810" s="41"/>
      <c r="N2810" s="41"/>
      <c r="R2810" s="41"/>
      <c r="S2810" s="41"/>
      <c r="U2810" s="440"/>
      <c r="V2810" s="440"/>
    </row>
    <row r="2811" spans="1:22" x14ac:dyDescent="0.2">
      <c r="A2811" s="123"/>
      <c r="B2811" s="333"/>
      <c r="C2811" s="345"/>
      <c r="D2811" s="345"/>
      <c r="E2811" s="372"/>
      <c r="F2811" s="372"/>
      <c r="G2811" s="440"/>
      <c r="H2811" s="440"/>
      <c r="I2811" s="440"/>
      <c r="J2811" s="440"/>
      <c r="K2811" s="41"/>
      <c r="L2811" s="41"/>
      <c r="N2811" s="41"/>
      <c r="R2811" s="41"/>
      <c r="S2811" s="41"/>
      <c r="U2811" s="440"/>
      <c r="V2811" s="440"/>
    </row>
    <row r="2812" spans="1:22" x14ac:dyDescent="0.2">
      <c r="A2812" s="123"/>
      <c r="B2812" s="333"/>
      <c r="C2812" s="345"/>
      <c r="D2812" s="345"/>
      <c r="E2812" s="372"/>
      <c r="F2812" s="372"/>
      <c r="G2812" s="440"/>
      <c r="H2812" s="440"/>
      <c r="I2812" s="440"/>
      <c r="J2812" s="440"/>
      <c r="K2812" s="41"/>
      <c r="L2812" s="41"/>
      <c r="N2812" s="41"/>
      <c r="R2812" s="41"/>
      <c r="S2812" s="41"/>
      <c r="U2812" s="440"/>
      <c r="V2812" s="440"/>
    </row>
    <row r="2813" spans="1:22" x14ac:dyDescent="0.2">
      <c r="A2813" s="123"/>
      <c r="B2813" s="333"/>
      <c r="C2813" s="345"/>
      <c r="D2813" s="345"/>
      <c r="E2813" s="372"/>
      <c r="F2813" s="372"/>
      <c r="G2813" s="440"/>
      <c r="H2813" s="440"/>
      <c r="I2813" s="440"/>
      <c r="J2813" s="440"/>
      <c r="K2813" s="41"/>
      <c r="L2813" s="41"/>
      <c r="N2813" s="41"/>
      <c r="R2813" s="41"/>
      <c r="S2813" s="41"/>
      <c r="U2813" s="440"/>
      <c r="V2813" s="440"/>
    </row>
    <row r="2814" spans="1:22" x14ac:dyDescent="0.2">
      <c r="A2814" s="123"/>
      <c r="B2814" s="333"/>
      <c r="C2814" s="345"/>
      <c r="D2814" s="345"/>
      <c r="E2814" s="372"/>
      <c r="F2814" s="372"/>
      <c r="G2814" s="440"/>
      <c r="H2814" s="440"/>
      <c r="I2814" s="440"/>
      <c r="J2814" s="440"/>
      <c r="K2814" s="41"/>
      <c r="L2814" s="41"/>
      <c r="N2814" s="41"/>
      <c r="R2814" s="41"/>
      <c r="S2814" s="41"/>
      <c r="U2814" s="440"/>
      <c r="V2814" s="440"/>
    </row>
    <row r="2815" spans="1:22" x14ac:dyDescent="0.2">
      <c r="A2815" s="123"/>
      <c r="B2815" s="333"/>
      <c r="C2815" s="345"/>
      <c r="D2815" s="345"/>
      <c r="E2815" s="372"/>
      <c r="F2815" s="372"/>
      <c r="G2815" s="440"/>
      <c r="H2815" s="440"/>
      <c r="I2815" s="440"/>
      <c r="J2815" s="440"/>
      <c r="K2815" s="41"/>
      <c r="L2815" s="41"/>
      <c r="N2815" s="41"/>
      <c r="R2815" s="41"/>
      <c r="S2815" s="41"/>
      <c r="U2815" s="440"/>
      <c r="V2815" s="440"/>
    </row>
    <row r="2816" spans="1:22" x14ac:dyDescent="0.2">
      <c r="A2816" s="123"/>
      <c r="B2816" s="333"/>
      <c r="C2816" s="345"/>
      <c r="D2816" s="345"/>
      <c r="E2816" s="372"/>
      <c r="F2816" s="372"/>
      <c r="G2816" s="440"/>
      <c r="H2816" s="440"/>
      <c r="I2816" s="440"/>
      <c r="J2816" s="440"/>
      <c r="K2816" s="41"/>
      <c r="L2816" s="41"/>
      <c r="N2816" s="41"/>
      <c r="R2816" s="41"/>
      <c r="S2816" s="41"/>
      <c r="U2816" s="440"/>
      <c r="V2816" s="440"/>
    </row>
    <row r="2817" spans="1:22" x14ac:dyDescent="0.2">
      <c r="A2817" s="123"/>
      <c r="B2817" s="333"/>
      <c r="C2817" s="345"/>
      <c r="D2817" s="345"/>
      <c r="E2817" s="372"/>
      <c r="F2817" s="372"/>
      <c r="G2817" s="440"/>
      <c r="H2817" s="440"/>
      <c r="I2817" s="440"/>
      <c r="J2817" s="440"/>
      <c r="K2817" s="41"/>
      <c r="L2817" s="41"/>
      <c r="N2817" s="41"/>
      <c r="R2817" s="41"/>
      <c r="S2817" s="41"/>
      <c r="U2817" s="440"/>
      <c r="V2817" s="440"/>
    </row>
    <row r="2818" spans="1:22" x14ac:dyDescent="0.2">
      <c r="A2818" s="123"/>
      <c r="B2818" s="333"/>
      <c r="C2818" s="345"/>
      <c r="D2818" s="345"/>
      <c r="E2818" s="372"/>
      <c r="F2818" s="372"/>
      <c r="G2818" s="440"/>
      <c r="H2818" s="440"/>
      <c r="I2818" s="440"/>
      <c r="J2818" s="440"/>
      <c r="K2818" s="41"/>
      <c r="L2818" s="41"/>
      <c r="N2818" s="41"/>
      <c r="R2818" s="41"/>
      <c r="S2818" s="41"/>
      <c r="U2818" s="440"/>
      <c r="V2818" s="440"/>
    </row>
    <row r="2819" spans="1:22" x14ac:dyDescent="0.2">
      <c r="A2819" s="123"/>
      <c r="B2819" s="333"/>
      <c r="C2819" s="345"/>
      <c r="D2819" s="345"/>
      <c r="E2819" s="372"/>
      <c r="F2819" s="372"/>
      <c r="G2819" s="440"/>
      <c r="H2819" s="440"/>
      <c r="I2819" s="440"/>
      <c r="J2819" s="440"/>
      <c r="K2819" s="41"/>
      <c r="L2819" s="41"/>
      <c r="N2819" s="41"/>
      <c r="R2819" s="41"/>
      <c r="S2819" s="41"/>
      <c r="U2819" s="440"/>
      <c r="V2819" s="440"/>
    </row>
    <row r="2820" spans="1:22" x14ac:dyDescent="0.2">
      <c r="A2820" s="123"/>
      <c r="B2820" s="333"/>
      <c r="C2820" s="345"/>
      <c r="D2820" s="345"/>
      <c r="E2820" s="372"/>
      <c r="F2820" s="372"/>
      <c r="G2820" s="440"/>
      <c r="H2820" s="440"/>
      <c r="I2820" s="440"/>
      <c r="J2820" s="440"/>
      <c r="K2820" s="41"/>
      <c r="L2820" s="41"/>
      <c r="N2820" s="41"/>
      <c r="R2820" s="41"/>
      <c r="S2820" s="41"/>
      <c r="U2820" s="440"/>
      <c r="V2820" s="440"/>
    </row>
    <row r="2821" spans="1:22" x14ac:dyDescent="0.2">
      <c r="A2821" s="123"/>
      <c r="B2821" s="333"/>
      <c r="C2821" s="345"/>
      <c r="D2821" s="345"/>
      <c r="E2821" s="372"/>
      <c r="F2821" s="372"/>
      <c r="G2821" s="440"/>
      <c r="H2821" s="440"/>
      <c r="I2821" s="440"/>
      <c r="J2821" s="440"/>
      <c r="K2821" s="41"/>
      <c r="L2821" s="41"/>
      <c r="N2821" s="41"/>
      <c r="R2821" s="41"/>
      <c r="S2821" s="41"/>
      <c r="U2821" s="440"/>
      <c r="V2821" s="440"/>
    </row>
    <row r="2822" spans="1:22" x14ac:dyDescent="0.2">
      <c r="A2822" s="123"/>
      <c r="B2822" s="333"/>
      <c r="C2822" s="345"/>
      <c r="D2822" s="345"/>
      <c r="E2822" s="372"/>
      <c r="F2822" s="372"/>
      <c r="G2822" s="440"/>
      <c r="H2822" s="440"/>
      <c r="I2822" s="440"/>
      <c r="J2822" s="440"/>
      <c r="K2822" s="41"/>
      <c r="L2822" s="41"/>
      <c r="N2822" s="41"/>
      <c r="R2822" s="41"/>
      <c r="S2822" s="41"/>
      <c r="U2822" s="440"/>
      <c r="V2822" s="440"/>
    </row>
    <row r="2823" spans="1:22" x14ac:dyDescent="0.2">
      <c r="A2823" s="123"/>
      <c r="B2823" s="333"/>
      <c r="C2823" s="345"/>
      <c r="D2823" s="345"/>
      <c r="E2823" s="372"/>
      <c r="F2823" s="372"/>
      <c r="G2823" s="440"/>
      <c r="H2823" s="440"/>
      <c r="I2823" s="440"/>
      <c r="J2823" s="440"/>
      <c r="K2823" s="41"/>
      <c r="L2823" s="41"/>
      <c r="N2823" s="41"/>
      <c r="R2823" s="41"/>
      <c r="S2823" s="41"/>
      <c r="U2823" s="440"/>
      <c r="V2823" s="440"/>
    </row>
    <row r="2824" spans="1:22" x14ac:dyDescent="0.2">
      <c r="A2824" s="123"/>
      <c r="B2824" s="333"/>
      <c r="C2824" s="345"/>
      <c r="D2824" s="345"/>
      <c r="E2824" s="372"/>
      <c r="F2824" s="372"/>
      <c r="G2824" s="440"/>
      <c r="H2824" s="440"/>
      <c r="I2824" s="440"/>
      <c r="J2824" s="440"/>
      <c r="K2824" s="41"/>
      <c r="L2824" s="41"/>
      <c r="N2824" s="41"/>
      <c r="R2824" s="41"/>
      <c r="S2824" s="41"/>
      <c r="U2824" s="440"/>
      <c r="V2824" s="440"/>
    </row>
    <row r="2825" spans="1:22" x14ac:dyDescent="0.2">
      <c r="A2825" s="123"/>
      <c r="B2825" s="333"/>
      <c r="C2825" s="345"/>
      <c r="D2825" s="345"/>
      <c r="E2825" s="372"/>
      <c r="F2825" s="372"/>
      <c r="G2825" s="440"/>
      <c r="H2825" s="440"/>
      <c r="I2825" s="440"/>
      <c r="J2825" s="440"/>
      <c r="K2825" s="41"/>
      <c r="L2825" s="41"/>
      <c r="N2825" s="41"/>
      <c r="R2825" s="41"/>
      <c r="S2825" s="41"/>
      <c r="U2825" s="440"/>
      <c r="V2825" s="440"/>
    </row>
    <row r="2826" spans="1:22" x14ac:dyDescent="0.2">
      <c r="A2826" s="123"/>
      <c r="B2826" s="333"/>
      <c r="C2826" s="345"/>
      <c r="D2826" s="345"/>
      <c r="E2826" s="372"/>
      <c r="F2826" s="372"/>
      <c r="G2826" s="440"/>
      <c r="H2826" s="440"/>
      <c r="I2826" s="440"/>
      <c r="J2826" s="440"/>
      <c r="K2826" s="41"/>
      <c r="L2826" s="41"/>
      <c r="N2826" s="41"/>
      <c r="R2826" s="41"/>
      <c r="S2826" s="41"/>
      <c r="U2826" s="440"/>
      <c r="V2826" s="440"/>
    </row>
    <row r="2827" spans="1:22" x14ac:dyDescent="0.2">
      <c r="A2827" s="123"/>
      <c r="B2827" s="333"/>
      <c r="C2827" s="345"/>
      <c r="D2827" s="345"/>
      <c r="E2827" s="372"/>
      <c r="F2827" s="372"/>
      <c r="G2827" s="440"/>
      <c r="H2827" s="440"/>
      <c r="I2827" s="440"/>
      <c r="J2827" s="440"/>
      <c r="K2827" s="41"/>
      <c r="L2827" s="41"/>
      <c r="N2827" s="41"/>
      <c r="R2827" s="41"/>
      <c r="S2827" s="41"/>
      <c r="U2827" s="440"/>
      <c r="V2827" s="440"/>
    </row>
    <row r="2828" spans="1:22" x14ac:dyDescent="0.2">
      <c r="A2828" s="123"/>
      <c r="B2828" s="333"/>
      <c r="C2828" s="345"/>
      <c r="D2828" s="345"/>
      <c r="E2828" s="372"/>
      <c r="F2828" s="372"/>
      <c r="G2828" s="440"/>
      <c r="H2828" s="440"/>
      <c r="I2828" s="440"/>
      <c r="J2828" s="440"/>
      <c r="K2828" s="41"/>
      <c r="L2828" s="41"/>
      <c r="N2828" s="41"/>
      <c r="R2828" s="41"/>
      <c r="S2828" s="41"/>
      <c r="U2828" s="440"/>
      <c r="V2828" s="440"/>
    </row>
    <row r="2829" spans="1:22" x14ac:dyDescent="0.2">
      <c r="A2829" s="123"/>
      <c r="B2829" s="333"/>
      <c r="C2829" s="345"/>
      <c r="D2829" s="345"/>
      <c r="E2829" s="372"/>
      <c r="F2829" s="372"/>
      <c r="G2829" s="440"/>
      <c r="H2829" s="440"/>
      <c r="I2829" s="440"/>
      <c r="J2829" s="440"/>
      <c r="K2829" s="41"/>
      <c r="L2829" s="41"/>
      <c r="N2829" s="41"/>
      <c r="R2829" s="41"/>
      <c r="S2829" s="41"/>
      <c r="U2829" s="440"/>
      <c r="V2829" s="440"/>
    </row>
    <row r="2830" spans="1:22" x14ac:dyDescent="0.2">
      <c r="A2830" s="123"/>
      <c r="B2830" s="333"/>
      <c r="C2830" s="345"/>
      <c r="D2830" s="345"/>
      <c r="E2830" s="372"/>
      <c r="F2830" s="372"/>
      <c r="G2830" s="440"/>
      <c r="H2830" s="440"/>
      <c r="I2830" s="440"/>
      <c r="J2830" s="440"/>
      <c r="K2830" s="41"/>
      <c r="L2830" s="41"/>
      <c r="N2830" s="41"/>
      <c r="R2830" s="41"/>
      <c r="S2830" s="41"/>
      <c r="U2830" s="440"/>
      <c r="V2830" s="440"/>
    </row>
    <row r="2831" spans="1:22" x14ac:dyDescent="0.2">
      <c r="A2831" s="123"/>
      <c r="B2831" s="333"/>
      <c r="C2831" s="345"/>
      <c r="D2831" s="345"/>
      <c r="E2831" s="372"/>
      <c r="F2831" s="372"/>
      <c r="G2831" s="440"/>
      <c r="H2831" s="440"/>
      <c r="I2831" s="440"/>
      <c r="J2831" s="440"/>
      <c r="K2831" s="41"/>
      <c r="L2831" s="41"/>
      <c r="N2831" s="41"/>
      <c r="R2831" s="41"/>
      <c r="S2831" s="41"/>
      <c r="U2831" s="440"/>
      <c r="V2831" s="440"/>
    </row>
    <row r="2832" spans="1:22" x14ac:dyDescent="0.2">
      <c r="A2832" s="123"/>
      <c r="B2832" s="333"/>
      <c r="C2832" s="345"/>
      <c r="D2832" s="345"/>
      <c r="E2832" s="372"/>
      <c r="F2832" s="372"/>
      <c r="G2832" s="440"/>
      <c r="H2832" s="440"/>
      <c r="I2832" s="440"/>
      <c r="J2832" s="440"/>
      <c r="K2832" s="41"/>
      <c r="L2832" s="41"/>
      <c r="N2832" s="41"/>
      <c r="R2832" s="41"/>
      <c r="S2832" s="41"/>
      <c r="U2832" s="440"/>
      <c r="V2832" s="440"/>
    </row>
    <row r="2833" spans="1:22" x14ac:dyDescent="0.2">
      <c r="A2833" s="123"/>
      <c r="B2833" s="333"/>
      <c r="C2833" s="345"/>
      <c r="D2833" s="345"/>
      <c r="E2833" s="372"/>
      <c r="F2833" s="372"/>
      <c r="G2833" s="440"/>
      <c r="H2833" s="440"/>
      <c r="I2833" s="440"/>
      <c r="J2833" s="440"/>
      <c r="K2833" s="41"/>
      <c r="L2833" s="41"/>
      <c r="N2833" s="41"/>
      <c r="R2833" s="41"/>
      <c r="S2833" s="41"/>
      <c r="U2833" s="440"/>
      <c r="V2833" s="440"/>
    </row>
    <row r="2834" spans="1:22" x14ac:dyDescent="0.2">
      <c r="A2834" s="123"/>
      <c r="B2834" s="333"/>
      <c r="C2834" s="345"/>
      <c r="D2834" s="345"/>
      <c r="E2834" s="372"/>
      <c r="F2834" s="372"/>
      <c r="G2834" s="440"/>
      <c r="H2834" s="440"/>
      <c r="I2834" s="440"/>
      <c r="J2834" s="440"/>
      <c r="K2834" s="41"/>
      <c r="L2834" s="41"/>
      <c r="N2834" s="41"/>
      <c r="R2834" s="41"/>
      <c r="S2834" s="41"/>
      <c r="U2834" s="440"/>
      <c r="V2834" s="440"/>
    </row>
    <row r="2835" spans="1:22" x14ac:dyDescent="0.2">
      <c r="A2835" s="123"/>
      <c r="B2835" s="333"/>
      <c r="C2835" s="345"/>
      <c r="D2835" s="345"/>
      <c r="E2835" s="372"/>
      <c r="F2835" s="372"/>
      <c r="G2835" s="440"/>
      <c r="H2835" s="440"/>
      <c r="I2835" s="440"/>
      <c r="J2835" s="440"/>
      <c r="K2835" s="41"/>
      <c r="L2835" s="41"/>
      <c r="N2835" s="41"/>
      <c r="R2835" s="41"/>
      <c r="S2835" s="41"/>
      <c r="U2835" s="440"/>
      <c r="V2835" s="440"/>
    </row>
    <row r="2836" spans="1:22" x14ac:dyDescent="0.2">
      <c r="A2836" s="123"/>
      <c r="B2836" s="333"/>
      <c r="C2836" s="345"/>
      <c r="D2836" s="345"/>
      <c r="E2836" s="372"/>
      <c r="F2836" s="372"/>
      <c r="G2836" s="440"/>
      <c r="H2836" s="440"/>
      <c r="I2836" s="440"/>
      <c r="J2836" s="440"/>
      <c r="K2836" s="41"/>
      <c r="L2836" s="41"/>
      <c r="N2836" s="41"/>
      <c r="R2836" s="41"/>
      <c r="S2836" s="41"/>
      <c r="U2836" s="440"/>
      <c r="V2836" s="440"/>
    </row>
    <row r="2837" spans="1:22" x14ac:dyDescent="0.2">
      <c r="A2837" s="123"/>
      <c r="B2837" s="333"/>
      <c r="C2837" s="345"/>
      <c r="D2837" s="345"/>
      <c r="E2837" s="372"/>
      <c r="F2837" s="372"/>
      <c r="G2837" s="440"/>
      <c r="H2837" s="440"/>
      <c r="I2837" s="440"/>
      <c r="J2837" s="440"/>
      <c r="K2837" s="41"/>
      <c r="L2837" s="41"/>
      <c r="N2837" s="41"/>
      <c r="R2837" s="41"/>
      <c r="S2837" s="41"/>
      <c r="U2837" s="440"/>
      <c r="V2837" s="440"/>
    </row>
    <row r="2838" spans="1:22" x14ac:dyDescent="0.2">
      <c r="A2838" s="123"/>
      <c r="B2838" s="333"/>
      <c r="C2838" s="345"/>
      <c r="D2838" s="345"/>
      <c r="E2838" s="372"/>
      <c r="F2838" s="372"/>
      <c r="G2838" s="440"/>
      <c r="H2838" s="440"/>
      <c r="I2838" s="440"/>
      <c r="J2838" s="440"/>
      <c r="K2838" s="41"/>
      <c r="L2838" s="41"/>
      <c r="N2838" s="41"/>
      <c r="R2838" s="41"/>
      <c r="S2838" s="41"/>
      <c r="U2838" s="440"/>
      <c r="V2838" s="440"/>
    </row>
    <row r="2839" spans="1:22" x14ac:dyDescent="0.2">
      <c r="A2839" s="123"/>
      <c r="B2839" s="333"/>
      <c r="C2839" s="345"/>
      <c r="D2839" s="345"/>
      <c r="E2839" s="372"/>
      <c r="F2839" s="372"/>
      <c r="G2839" s="440"/>
      <c r="H2839" s="440"/>
      <c r="I2839" s="440"/>
      <c r="J2839" s="440"/>
      <c r="K2839" s="41"/>
      <c r="L2839" s="41"/>
      <c r="N2839" s="41"/>
      <c r="R2839" s="41"/>
      <c r="S2839" s="41"/>
      <c r="U2839" s="440"/>
      <c r="V2839" s="440"/>
    </row>
    <row r="2840" spans="1:22" x14ac:dyDescent="0.2">
      <c r="A2840" s="123"/>
      <c r="B2840" s="333"/>
      <c r="C2840" s="345"/>
      <c r="D2840" s="345"/>
      <c r="E2840" s="372"/>
      <c r="F2840" s="372"/>
      <c r="G2840" s="440"/>
      <c r="H2840" s="440"/>
      <c r="I2840" s="440"/>
      <c r="J2840" s="440"/>
      <c r="K2840" s="41"/>
      <c r="L2840" s="41"/>
      <c r="N2840" s="41"/>
      <c r="R2840" s="41"/>
      <c r="S2840" s="41"/>
      <c r="U2840" s="440"/>
      <c r="V2840" s="440"/>
    </row>
    <row r="2841" spans="1:22" x14ac:dyDescent="0.2">
      <c r="A2841" s="123"/>
      <c r="B2841" s="333"/>
      <c r="C2841" s="345"/>
      <c r="D2841" s="345"/>
      <c r="E2841" s="372"/>
      <c r="F2841" s="372"/>
      <c r="G2841" s="440"/>
      <c r="H2841" s="440"/>
      <c r="I2841" s="440"/>
      <c r="J2841" s="440"/>
      <c r="K2841" s="41"/>
      <c r="L2841" s="41"/>
      <c r="N2841" s="41"/>
      <c r="R2841" s="41"/>
      <c r="S2841" s="41"/>
      <c r="U2841" s="440"/>
      <c r="V2841" s="440"/>
    </row>
    <row r="2842" spans="1:22" x14ac:dyDescent="0.2">
      <c r="A2842" s="123"/>
      <c r="B2842" s="333"/>
      <c r="C2842" s="345"/>
      <c r="D2842" s="345"/>
      <c r="E2842" s="372"/>
      <c r="F2842" s="372"/>
      <c r="G2842" s="440"/>
      <c r="H2842" s="440"/>
      <c r="I2842" s="440"/>
      <c r="J2842" s="440"/>
      <c r="K2842" s="41"/>
      <c r="L2842" s="41"/>
      <c r="N2842" s="41"/>
      <c r="R2842" s="41"/>
      <c r="S2842" s="41"/>
      <c r="U2842" s="440"/>
      <c r="V2842" s="440"/>
    </row>
    <row r="2843" spans="1:22" x14ac:dyDescent="0.2">
      <c r="A2843" s="123"/>
      <c r="B2843" s="333"/>
      <c r="C2843" s="345"/>
      <c r="D2843" s="345"/>
      <c r="E2843" s="372"/>
      <c r="F2843" s="372"/>
      <c r="G2843" s="440"/>
      <c r="H2843" s="440"/>
      <c r="I2843" s="440"/>
      <c r="J2843" s="440"/>
      <c r="K2843" s="41"/>
      <c r="L2843" s="41"/>
      <c r="N2843" s="41"/>
      <c r="R2843" s="41"/>
      <c r="S2843" s="41"/>
      <c r="U2843" s="440"/>
      <c r="V2843" s="440"/>
    </row>
    <row r="2844" spans="1:22" x14ac:dyDescent="0.2">
      <c r="A2844" s="123"/>
      <c r="B2844" s="333"/>
      <c r="C2844" s="345"/>
      <c r="D2844" s="345"/>
      <c r="E2844" s="372"/>
      <c r="F2844" s="372"/>
      <c r="G2844" s="440"/>
      <c r="H2844" s="440"/>
      <c r="I2844" s="440"/>
      <c r="J2844" s="440"/>
      <c r="K2844" s="41"/>
      <c r="L2844" s="41"/>
      <c r="N2844" s="41"/>
      <c r="R2844" s="41"/>
      <c r="S2844" s="41"/>
      <c r="U2844" s="440"/>
      <c r="V2844" s="440"/>
    </row>
    <row r="2845" spans="1:22" x14ac:dyDescent="0.2">
      <c r="A2845" s="123"/>
      <c r="B2845" s="333"/>
      <c r="C2845" s="345"/>
      <c r="D2845" s="345"/>
      <c r="E2845" s="372"/>
      <c r="F2845" s="372"/>
      <c r="G2845" s="440"/>
      <c r="H2845" s="440"/>
      <c r="I2845" s="440"/>
      <c r="J2845" s="440"/>
      <c r="K2845" s="41"/>
      <c r="L2845" s="41"/>
      <c r="N2845" s="41"/>
      <c r="R2845" s="41"/>
      <c r="S2845" s="41"/>
      <c r="U2845" s="440"/>
      <c r="V2845" s="440"/>
    </row>
    <row r="2846" spans="1:22" x14ac:dyDescent="0.2">
      <c r="A2846" s="123"/>
      <c r="B2846" s="333"/>
      <c r="C2846" s="345"/>
      <c r="D2846" s="345"/>
      <c r="E2846" s="372"/>
      <c r="F2846" s="372"/>
      <c r="G2846" s="440"/>
      <c r="H2846" s="440"/>
      <c r="I2846" s="440"/>
      <c r="J2846" s="440"/>
      <c r="K2846" s="41"/>
      <c r="L2846" s="41"/>
      <c r="N2846" s="41"/>
      <c r="R2846" s="41"/>
      <c r="S2846" s="41"/>
      <c r="U2846" s="440"/>
      <c r="V2846" s="440"/>
    </row>
    <row r="2847" spans="1:22" x14ac:dyDescent="0.2">
      <c r="A2847" s="123"/>
      <c r="B2847" s="333"/>
      <c r="C2847" s="345"/>
      <c r="D2847" s="345"/>
      <c r="E2847" s="372"/>
      <c r="F2847" s="372"/>
      <c r="G2847" s="440"/>
      <c r="H2847" s="440"/>
      <c r="I2847" s="440"/>
      <c r="J2847" s="440"/>
      <c r="K2847" s="41"/>
      <c r="L2847" s="41"/>
      <c r="N2847" s="41"/>
      <c r="R2847" s="41"/>
      <c r="S2847" s="41"/>
      <c r="U2847" s="440"/>
      <c r="V2847" s="440"/>
    </row>
    <row r="2848" spans="1:22" x14ac:dyDescent="0.2">
      <c r="A2848" s="123"/>
      <c r="B2848" s="333"/>
      <c r="C2848" s="345"/>
      <c r="D2848" s="345"/>
      <c r="E2848" s="372"/>
      <c r="F2848" s="372"/>
      <c r="G2848" s="440"/>
      <c r="H2848" s="440"/>
      <c r="I2848" s="440"/>
      <c r="J2848" s="440"/>
      <c r="K2848" s="41"/>
      <c r="L2848" s="41"/>
      <c r="N2848" s="41"/>
      <c r="R2848" s="41"/>
      <c r="S2848" s="41"/>
      <c r="U2848" s="440"/>
      <c r="V2848" s="440"/>
    </row>
    <row r="2849" spans="1:22" x14ac:dyDescent="0.2">
      <c r="A2849" s="123"/>
      <c r="B2849" s="333"/>
      <c r="C2849" s="345"/>
      <c r="D2849" s="345"/>
      <c r="E2849" s="372"/>
      <c r="F2849" s="372"/>
      <c r="G2849" s="440"/>
      <c r="H2849" s="440"/>
      <c r="I2849" s="440"/>
      <c r="J2849" s="440"/>
      <c r="K2849" s="41"/>
      <c r="L2849" s="41"/>
      <c r="N2849" s="41"/>
      <c r="R2849" s="41"/>
      <c r="S2849" s="41"/>
      <c r="U2849" s="440"/>
      <c r="V2849" s="440"/>
    </row>
    <row r="2850" spans="1:22" x14ac:dyDescent="0.2">
      <c r="A2850" s="123"/>
      <c r="B2850" s="333"/>
      <c r="C2850" s="345"/>
      <c r="D2850" s="345"/>
      <c r="E2850" s="372"/>
      <c r="F2850" s="372"/>
      <c r="G2850" s="440"/>
      <c r="H2850" s="440"/>
      <c r="I2850" s="440"/>
      <c r="J2850" s="440"/>
      <c r="K2850" s="41"/>
      <c r="L2850" s="41"/>
      <c r="N2850" s="41"/>
      <c r="R2850" s="41"/>
      <c r="S2850" s="41"/>
      <c r="U2850" s="440"/>
      <c r="V2850" s="440"/>
    </row>
    <row r="2851" spans="1:22" x14ac:dyDescent="0.2">
      <c r="A2851" s="123"/>
      <c r="B2851" s="333"/>
      <c r="C2851" s="345"/>
      <c r="D2851" s="345"/>
      <c r="E2851" s="372"/>
      <c r="F2851" s="372"/>
      <c r="G2851" s="440"/>
      <c r="H2851" s="440"/>
      <c r="I2851" s="440"/>
      <c r="J2851" s="440"/>
      <c r="K2851" s="41"/>
      <c r="L2851" s="41"/>
      <c r="N2851" s="41"/>
      <c r="R2851" s="41"/>
      <c r="S2851" s="41"/>
      <c r="U2851" s="440"/>
      <c r="V2851" s="440"/>
    </row>
    <row r="2852" spans="1:22" x14ac:dyDescent="0.2">
      <c r="A2852" s="123"/>
      <c r="B2852" s="333"/>
      <c r="C2852" s="345"/>
      <c r="D2852" s="345"/>
      <c r="E2852" s="372"/>
      <c r="F2852" s="372"/>
      <c r="G2852" s="440"/>
      <c r="H2852" s="440"/>
      <c r="I2852" s="440"/>
      <c r="J2852" s="440"/>
      <c r="K2852" s="41"/>
      <c r="L2852" s="41"/>
      <c r="N2852" s="41"/>
      <c r="R2852" s="41"/>
      <c r="S2852" s="41"/>
      <c r="U2852" s="440"/>
      <c r="V2852" s="440"/>
    </row>
    <row r="2853" spans="1:22" x14ac:dyDescent="0.2">
      <c r="A2853" s="123"/>
      <c r="B2853" s="333"/>
      <c r="C2853" s="345"/>
      <c r="D2853" s="345"/>
      <c r="E2853" s="372"/>
      <c r="F2853" s="372"/>
      <c r="G2853" s="440"/>
      <c r="H2853" s="440"/>
      <c r="I2853" s="440"/>
      <c r="J2853" s="440"/>
      <c r="K2853" s="41"/>
      <c r="L2853" s="41"/>
      <c r="N2853" s="41"/>
      <c r="R2853" s="41"/>
      <c r="S2853" s="41"/>
      <c r="U2853" s="440"/>
      <c r="V2853" s="440"/>
    </row>
    <row r="2854" spans="1:22" x14ac:dyDescent="0.2">
      <c r="A2854" s="123"/>
      <c r="B2854" s="333"/>
      <c r="C2854" s="345"/>
      <c r="D2854" s="345"/>
      <c r="E2854" s="372"/>
      <c r="F2854" s="372"/>
      <c r="G2854" s="440"/>
      <c r="H2854" s="440"/>
      <c r="I2854" s="440"/>
      <c r="J2854" s="440"/>
      <c r="K2854" s="41"/>
      <c r="L2854" s="41"/>
      <c r="N2854" s="41"/>
      <c r="R2854" s="41"/>
      <c r="S2854" s="41"/>
      <c r="U2854" s="440"/>
      <c r="V2854" s="440"/>
    </row>
    <row r="2855" spans="1:22" x14ac:dyDescent="0.2">
      <c r="A2855" s="123"/>
      <c r="B2855" s="333"/>
      <c r="C2855" s="345"/>
      <c r="D2855" s="345"/>
      <c r="E2855" s="372"/>
      <c r="F2855" s="372"/>
      <c r="G2855" s="440"/>
      <c r="H2855" s="440"/>
      <c r="I2855" s="440"/>
      <c r="J2855" s="440"/>
      <c r="K2855" s="41"/>
      <c r="L2855" s="41"/>
      <c r="N2855" s="41"/>
      <c r="R2855" s="41"/>
      <c r="S2855" s="41"/>
      <c r="U2855" s="440"/>
      <c r="V2855" s="440"/>
    </row>
    <row r="2856" spans="1:22" x14ac:dyDescent="0.2">
      <c r="A2856" s="123"/>
      <c r="B2856" s="333"/>
      <c r="C2856" s="345"/>
      <c r="D2856" s="345"/>
      <c r="E2856" s="372"/>
      <c r="F2856" s="372"/>
      <c r="G2856" s="440"/>
      <c r="H2856" s="440"/>
      <c r="I2856" s="440"/>
      <c r="J2856" s="440"/>
      <c r="K2856" s="41"/>
      <c r="L2856" s="41"/>
      <c r="N2856" s="41"/>
      <c r="R2856" s="41"/>
      <c r="S2856" s="41"/>
      <c r="U2856" s="440"/>
      <c r="V2856" s="440"/>
    </row>
    <row r="2857" spans="1:22" x14ac:dyDescent="0.2">
      <c r="A2857" s="123"/>
      <c r="B2857" s="333"/>
      <c r="C2857" s="345"/>
      <c r="D2857" s="345"/>
      <c r="E2857" s="372"/>
      <c r="F2857" s="372"/>
      <c r="G2857" s="440"/>
      <c r="H2857" s="440"/>
      <c r="I2857" s="440"/>
      <c r="J2857" s="440"/>
      <c r="K2857" s="41"/>
      <c r="L2857" s="41"/>
      <c r="N2857" s="41"/>
      <c r="R2857" s="41"/>
      <c r="S2857" s="41"/>
      <c r="U2857" s="440"/>
      <c r="V2857" s="440"/>
    </row>
    <row r="2858" spans="1:22" x14ac:dyDescent="0.2">
      <c r="A2858" s="123"/>
      <c r="B2858" s="333"/>
      <c r="C2858" s="345"/>
      <c r="D2858" s="345"/>
      <c r="E2858" s="372"/>
      <c r="F2858" s="372"/>
      <c r="G2858" s="440"/>
      <c r="H2858" s="440"/>
      <c r="I2858" s="440"/>
      <c r="J2858" s="440"/>
      <c r="K2858" s="41"/>
      <c r="L2858" s="41"/>
      <c r="N2858" s="41"/>
      <c r="R2858" s="41"/>
      <c r="S2858" s="41"/>
      <c r="U2858" s="440"/>
      <c r="V2858" s="440"/>
    </row>
    <row r="2859" spans="1:22" x14ac:dyDescent="0.2">
      <c r="A2859" s="123"/>
      <c r="B2859" s="333"/>
      <c r="C2859" s="345"/>
      <c r="D2859" s="345"/>
      <c r="E2859" s="372"/>
      <c r="F2859" s="372"/>
      <c r="G2859" s="440"/>
      <c r="H2859" s="440"/>
      <c r="I2859" s="440"/>
      <c r="J2859" s="440"/>
      <c r="K2859" s="41"/>
      <c r="L2859" s="41"/>
      <c r="N2859" s="41"/>
      <c r="R2859" s="41"/>
      <c r="S2859" s="41"/>
      <c r="U2859" s="440"/>
      <c r="V2859" s="440"/>
    </row>
    <row r="2860" spans="1:22" x14ac:dyDescent="0.2">
      <c r="A2860" s="123"/>
      <c r="B2860" s="333"/>
      <c r="C2860" s="345"/>
      <c r="D2860" s="345"/>
      <c r="E2860" s="372"/>
      <c r="F2860" s="372"/>
      <c r="G2860" s="440"/>
      <c r="H2860" s="440"/>
      <c r="I2860" s="440"/>
      <c r="J2860" s="440"/>
      <c r="K2860" s="41"/>
      <c r="L2860" s="41"/>
      <c r="N2860" s="41"/>
      <c r="R2860" s="41"/>
      <c r="S2860" s="41"/>
      <c r="U2860" s="440"/>
      <c r="V2860" s="440"/>
    </row>
    <row r="2861" spans="1:22" x14ac:dyDescent="0.2">
      <c r="A2861" s="123"/>
      <c r="B2861" s="333"/>
      <c r="C2861" s="345"/>
      <c r="D2861" s="345"/>
      <c r="E2861" s="372"/>
      <c r="F2861" s="372"/>
      <c r="G2861" s="440"/>
      <c r="H2861" s="440"/>
      <c r="I2861" s="440"/>
      <c r="J2861" s="440"/>
      <c r="K2861" s="41"/>
      <c r="L2861" s="41"/>
      <c r="N2861" s="41"/>
      <c r="R2861" s="41"/>
      <c r="S2861" s="41"/>
      <c r="U2861" s="440"/>
      <c r="V2861" s="440"/>
    </row>
    <row r="2862" spans="1:22" x14ac:dyDescent="0.2">
      <c r="A2862" s="123"/>
      <c r="B2862" s="333"/>
      <c r="C2862" s="345"/>
      <c r="D2862" s="345"/>
      <c r="E2862" s="372"/>
      <c r="F2862" s="372"/>
      <c r="G2862" s="440"/>
      <c r="H2862" s="440"/>
      <c r="I2862" s="440"/>
      <c r="J2862" s="440"/>
      <c r="K2862" s="41"/>
      <c r="L2862" s="41"/>
      <c r="N2862" s="41"/>
      <c r="R2862" s="41"/>
      <c r="S2862" s="41"/>
      <c r="U2862" s="440"/>
      <c r="V2862" s="440"/>
    </row>
    <row r="2863" spans="1:22" x14ac:dyDescent="0.2">
      <c r="A2863" s="123"/>
      <c r="B2863" s="333"/>
      <c r="C2863" s="345"/>
      <c r="D2863" s="345"/>
      <c r="E2863" s="372"/>
      <c r="F2863" s="372"/>
      <c r="G2863" s="440"/>
      <c r="H2863" s="440"/>
      <c r="I2863" s="440"/>
      <c r="J2863" s="440"/>
      <c r="K2863" s="41"/>
      <c r="L2863" s="41"/>
      <c r="N2863" s="41"/>
      <c r="R2863" s="41"/>
      <c r="S2863" s="41"/>
      <c r="U2863" s="440"/>
      <c r="V2863" s="440"/>
    </row>
    <row r="2864" spans="1:22" x14ac:dyDescent="0.2">
      <c r="A2864" s="123"/>
      <c r="B2864" s="333"/>
      <c r="C2864" s="345"/>
      <c r="D2864" s="345"/>
      <c r="E2864" s="372"/>
      <c r="F2864" s="372"/>
      <c r="G2864" s="440"/>
      <c r="H2864" s="440"/>
      <c r="I2864" s="440"/>
      <c r="J2864" s="440"/>
      <c r="K2864" s="41"/>
      <c r="L2864" s="41"/>
      <c r="N2864" s="41"/>
      <c r="R2864" s="41"/>
      <c r="S2864" s="41"/>
      <c r="U2864" s="440"/>
      <c r="V2864" s="440"/>
    </row>
    <row r="2865" spans="1:22" x14ac:dyDescent="0.2">
      <c r="A2865" s="123"/>
      <c r="B2865" s="333"/>
      <c r="C2865" s="345"/>
      <c r="D2865" s="345"/>
      <c r="E2865" s="372"/>
      <c r="F2865" s="372"/>
      <c r="G2865" s="440"/>
      <c r="H2865" s="440"/>
      <c r="I2865" s="440"/>
      <c r="J2865" s="440"/>
      <c r="K2865" s="41"/>
      <c r="L2865" s="41"/>
      <c r="N2865" s="41"/>
      <c r="R2865" s="41"/>
      <c r="S2865" s="41"/>
      <c r="U2865" s="440"/>
      <c r="V2865" s="440"/>
    </row>
    <row r="2866" spans="1:22" x14ac:dyDescent="0.2">
      <c r="A2866" s="123"/>
      <c r="B2866" s="333"/>
      <c r="C2866" s="345"/>
      <c r="D2866" s="345"/>
      <c r="E2866" s="372"/>
      <c r="F2866" s="372"/>
      <c r="G2866" s="440"/>
      <c r="H2866" s="440"/>
      <c r="I2866" s="440"/>
      <c r="J2866" s="440"/>
      <c r="K2866" s="41"/>
      <c r="L2866" s="41"/>
      <c r="N2866" s="41"/>
      <c r="R2866" s="41"/>
      <c r="S2866" s="41"/>
      <c r="U2866" s="440"/>
      <c r="V2866" s="440"/>
    </row>
    <row r="2867" spans="1:22" x14ac:dyDescent="0.2">
      <c r="A2867" s="123"/>
      <c r="B2867" s="333"/>
      <c r="C2867" s="345"/>
      <c r="D2867" s="345"/>
      <c r="E2867" s="372"/>
      <c r="F2867" s="372"/>
      <c r="G2867" s="440"/>
      <c r="H2867" s="440"/>
      <c r="I2867" s="440"/>
      <c r="J2867" s="440"/>
      <c r="K2867" s="41"/>
      <c r="L2867" s="41"/>
      <c r="N2867" s="41"/>
      <c r="R2867" s="41"/>
      <c r="S2867" s="41"/>
      <c r="U2867" s="440"/>
      <c r="V2867" s="440"/>
    </row>
    <row r="2868" spans="1:22" x14ac:dyDescent="0.2">
      <c r="A2868" s="123"/>
      <c r="B2868" s="333"/>
      <c r="C2868" s="345"/>
      <c r="D2868" s="345"/>
      <c r="E2868" s="372"/>
      <c r="F2868" s="372"/>
      <c r="G2868" s="440"/>
      <c r="H2868" s="440"/>
      <c r="I2868" s="440"/>
      <c r="J2868" s="440"/>
      <c r="K2868" s="41"/>
      <c r="L2868" s="41"/>
      <c r="N2868" s="41"/>
      <c r="R2868" s="41"/>
      <c r="S2868" s="41"/>
      <c r="U2868" s="440"/>
      <c r="V2868" s="440"/>
    </row>
    <row r="2869" spans="1:22" x14ac:dyDescent="0.2">
      <c r="A2869" s="123"/>
      <c r="B2869" s="333"/>
      <c r="C2869" s="345"/>
      <c r="D2869" s="345"/>
      <c r="E2869" s="372"/>
      <c r="F2869" s="372"/>
      <c r="G2869" s="440"/>
      <c r="H2869" s="440"/>
      <c r="I2869" s="440"/>
      <c r="J2869" s="440"/>
      <c r="K2869" s="41"/>
      <c r="L2869" s="41"/>
      <c r="N2869" s="41"/>
      <c r="R2869" s="41"/>
      <c r="S2869" s="41"/>
      <c r="U2869" s="440"/>
      <c r="V2869" s="440"/>
    </row>
    <row r="2870" spans="1:22" x14ac:dyDescent="0.2">
      <c r="A2870" s="123"/>
      <c r="B2870" s="333"/>
      <c r="C2870" s="345"/>
      <c r="D2870" s="345"/>
      <c r="E2870" s="372"/>
      <c r="F2870" s="372"/>
      <c r="G2870" s="440"/>
      <c r="H2870" s="440"/>
      <c r="I2870" s="440"/>
      <c r="J2870" s="440"/>
      <c r="K2870" s="41"/>
      <c r="L2870" s="41"/>
      <c r="N2870" s="41"/>
      <c r="R2870" s="41"/>
      <c r="S2870" s="41"/>
      <c r="U2870" s="440"/>
      <c r="V2870" s="440"/>
    </row>
    <row r="2871" spans="1:22" x14ac:dyDescent="0.2">
      <c r="A2871" s="123"/>
      <c r="B2871" s="333"/>
      <c r="C2871" s="345"/>
      <c r="D2871" s="345"/>
      <c r="E2871" s="372"/>
      <c r="F2871" s="372"/>
      <c r="G2871" s="440"/>
      <c r="H2871" s="440"/>
      <c r="I2871" s="440"/>
      <c r="J2871" s="440"/>
      <c r="K2871" s="41"/>
      <c r="L2871" s="41"/>
      <c r="N2871" s="41"/>
      <c r="R2871" s="41"/>
      <c r="S2871" s="41"/>
      <c r="U2871" s="440"/>
      <c r="V2871" s="440"/>
    </row>
    <row r="2872" spans="1:22" x14ac:dyDescent="0.2">
      <c r="A2872" s="123"/>
      <c r="B2872" s="333"/>
      <c r="C2872" s="345"/>
      <c r="D2872" s="345"/>
      <c r="E2872" s="372"/>
      <c r="F2872" s="372"/>
      <c r="G2872" s="440"/>
      <c r="H2872" s="440"/>
      <c r="I2872" s="440"/>
      <c r="J2872" s="440"/>
      <c r="K2872" s="41"/>
      <c r="L2872" s="41"/>
      <c r="N2872" s="41"/>
      <c r="R2872" s="41"/>
      <c r="S2872" s="41"/>
      <c r="U2872" s="440"/>
      <c r="V2872" s="440"/>
    </row>
    <row r="2873" spans="1:22" x14ac:dyDescent="0.2">
      <c r="A2873" s="123"/>
      <c r="B2873" s="333"/>
      <c r="C2873" s="345"/>
      <c r="D2873" s="345"/>
      <c r="E2873" s="372"/>
      <c r="F2873" s="372"/>
      <c r="G2873" s="440"/>
      <c r="H2873" s="440"/>
      <c r="I2873" s="440"/>
      <c r="J2873" s="440"/>
      <c r="K2873" s="41"/>
      <c r="L2873" s="41"/>
      <c r="N2873" s="41"/>
      <c r="R2873" s="41"/>
      <c r="S2873" s="41"/>
      <c r="U2873" s="440"/>
      <c r="V2873" s="440"/>
    </row>
    <row r="2874" spans="1:22" x14ac:dyDescent="0.2">
      <c r="A2874" s="123"/>
      <c r="B2874" s="333"/>
      <c r="C2874" s="345"/>
      <c r="D2874" s="345"/>
      <c r="E2874" s="372"/>
      <c r="F2874" s="372"/>
      <c r="G2874" s="440"/>
      <c r="H2874" s="440"/>
      <c r="I2874" s="440"/>
      <c r="J2874" s="440"/>
      <c r="K2874" s="41"/>
      <c r="L2874" s="41"/>
      <c r="N2874" s="41"/>
      <c r="R2874" s="41"/>
      <c r="S2874" s="41"/>
      <c r="U2874" s="440"/>
      <c r="V2874" s="440"/>
    </row>
    <row r="2875" spans="1:22" x14ac:dyDescent="0.2">
      <c r="A2875" s="123"/>
      <c r="B2875" s="333"/>
      <c r="C2875" s="345"/>
      <c r="D2875" s="345"/>
      <c r="E2875" s="372"/>
      <c r="F2875" s="372"/>
      <c r="G2875" s="440"/>
      <c r="H2875" s="440"/>
      <c r="I2875" s="440"/>
      <c r="J2875" s="440"/>
      <c r="K2875" s="41"/>
      <c r="L2875" s="41"/>
      <c r="N2875" s="41"/>
      <c r="R2875" s="41"/>
      <c r="S2875" s="41"/>
      <c r="U2875" s="440"/>
      <c r="V2875" s="440"/>
    </row>
    <row r="2876" spans="1:22" x14ac:dyDescent="0.2">
      <c r="A2876" s="123"/>
      <c r="B2876" s="333"/>
      <c r="C2876" s="345"/>
      <c r="D2876" s="345"/>
      <c r="E2876" s="372"/>
      <c r="F2876" s="372"/>
      <c r="G2876" s="440"/>
      <c r="H2876" s="440"/>
      <c r="I2876" s="440"/>
      <c r="J2876" s="440"/>
      <c r="K2876" s="41"/>
      <c r="L2876" s="41"/>
      <c r="N2876" s="41"/>
      <c r="R2876" s="41"/>
      <c r="S2876" s="41"/>
      <c r="U2876" s="440"/>
      <c r="V2876" s="440"/>
    </row>
    <row r="2877" spans="1:22" x14ac:dyDescent="0.2">
      <c r="A2877" s="123"/>
      <c r="B2877" s="333"/>
      <c r="C2877" s="345"/>
      <c r="D2877" s="345"/>
      <c r="E2877" s="372"/>
      <c r="F2877" s="372"/>
      <c r="G2877" s="440"/>
      <c r="H2877" s="440"/>
      <c r="I2877" s="440"/>
      <c r="J2877" s="440"/>
      <c r="K2877" s="41"/>
      <c r="L2877" s="41"/>
      <c r="N2877" s="41"/>
      <c r="R2877" s="41"/>
      <c r="S2877" s="41"/>
      <c r="U2877" s="440"/>
      <c r="V2877" s="440"/>
    </row>
    <row r="2878" spans="1:22" x14ac:dyDescent="0.2">
      <c r="A2878" s="123"/>
      <c r="B2878" s="333"/>
      <c r="C2878" s="345"/>
      <c r="D2878" s="345"/>
      <c r="E2878" s="372"/>
      <c r="F2878" s="372"/>
      <c r="G2878" s="440"/>
      <c r="H2878" s="440"/>
      <c r="I2878" s="440"/>
      <c r="J2878" s="440"/>
      <c r="K2878" s="41"/>
      <c r="L2878" s="41"/>
      <c r="N2878" s="41"/>
      <c r="R2878" s="41"/>
      <c r="S2878" s="41"/>
      <c r="U2878" s="440"/>
      <c r="V2878" s="440"/>
    </row>
    <row r="2879" spans="1:22" x14ac:dyDescent="0.2">
      <c r="A2879" s="123"/>
      <c r="B2879" s="333"/>
      <c r="C2879" s="345"/>
      <c r="D2879" s="345"/>
      <c r="E2879" s="372"/>
      <c r="F2879" s="372"/>
      <c r="G2879" s="440"/>
      <c r="H2879" s="440"/>
      <c r="I2879" s="440"/>
      <c r="J2879" s="440"/>
      <c r="K2879" s="41"/>
      <c r="L2879" s="41"/>
      <c r="N2879" s="41"/>
      <c r="R2879" s="41"/>
      <c r="S2879" s="41"/>
      <c r="U2879" s="440"/>
      <c r="V2879" s="440"/>
    </row>
    <row r="2880" spans="1:22" x14ac:dyDescent="0.2">
      <c r="A2880" s="123"/>
      <c r="B2880" s="333"/>
      <c r="C2880" s="345"/>
      <c r="D2880" s="345"/>
      <c r="E2880" s="372"/>
      <c r="F2880" s="372"/>
      <c r="G2880" s="440"/>
      <c r="H2880" s="440"/>
      <c r="I2880" s="440"/>
      <c r="J2880" s="440"/>
      <c r="K2880" s="41"/>
      <c r="L2880" s="41"/>
      <c r="N2880" s="41"/>
      <c r="R2880" s="41"/>
      <c r="S2880" s="41"/>
      <c r="U2880" s="440"/>
      <c r="V2880" s="440"/>
    </row>
    <row r="2881" spans="1:22" x14ac:dyDescent="0.2">
      <c r="A2881" s="123"/>
      <c r="B2881" s="333"/>
      <c r="C2881" s="345"/>
      <c r="D2881" s="345"/>
      <c r="E2881" s="372"/>
      <c r="F2881" s="372"/>
      <c r="G2881" s="440"/>
      <c r="H2881" s="440"/>
      <c r="I2881" s="440"/>
      <c r="J2881" s="440"/>
      <c r="K2881" s="41"/>
      <c r="L2881" s="41"/>
      <c r="N2881" s="41"/>
      <c r="R2881" s="41"/>
      <c r="S2881" s="41"/>
      <c r="U2881" s="440"/>
      <c r="V2881" s="440"/>
    </row>
    <row r="2882" spans="1:22" x14ac:dyDescent="0.2">
      <c r="A2882" s="123"/>
      <c r="B2882" s="333"/>
      <c r="C2882" s="345"/>
      <c r="D2882" s="345"/>
      <c r="E2882" s="372"/>
      <c r="F2882" s="372"/>
      <c r="G2882" s="440"/>
      <c r="H2882" s="440"/>
      <c r="I2882" s="440"/>
      <c r="J2882" s="440"/>
      <c r="K2882" s="41"/>
      <c r="L2882" s="41"/>
      <c r="N2882" s="41"/>
      <c r="R2882" s="41"/>
      <c r="S2882" s="41"/>
      <c r="U2882" s="440"/>
      <c r="V2882" s="440"/>
    </row>
    <row r="2883" spans="1:22" x14ac:dyDescent="0.2">
      <c r="A2883" s="123"/>
      <c r="B2883" s="333"/>
      <c r="C2883" s="345"/>
      <c r="D2883" s="345"/>
      <c r="E2883" s="372"/>
      <c r="F2883" s="372"/>
      <c r="G2883" s="440"/>
      <c r="H2883" s="440"/>
      <c r="I2883" s="440"/>
      <c r="J2883" s="440"/>
      <c r="K2883" s="41"/>
      <c r="L2883" s="41"/>
      <c r="N2883" s="41"/>
      <c r="R2883" s="41"/>
      <c r="S2883" s="41"/>
      <c r="U2883" s="440"/>
      <c r="V2883" s="440"/>
    </row>
    <row r="2884" spans="1:22" x14ac:dyDescent="0.2">
      <c r="A2884" s="123"/>
      <c r="B2884" s="333"/>
      <c r="C2884" s="345"/>
      <c r="D2884" s="345"/>
      <c r="E2884" s="372"/>
      <c r="F2884" s="372"/>
      <c r="G2884" s="440"/>
      <c r="H2884" s="440"/>
      <c r="I2884" s="440"/>
      <c r="J2884" s="440"/>
      <c r="K2884" s="41"/>
      <c r="L2884" s="41"/>
      <c r="N2884" s="41"/>
      <c r="R2884" s="41"/>
      <c r="S2884" s="41"/>
      <c r="U2884" s="440"/>
      <c r="V2884" s="440"/>
    </row>
    <row r="2885" spans="1:22" x14ac:dyDescent="0.2">
      <c r="A2885" s="123"/>
      <c r="B2885" s="333"/>
      <c r="C2885" s="345"/>
      <c r="D2885" s="345"/>
      <c r="E2885" s="372"/>
      <c r="F2885" s="372"/>
      <c r="G2885" s="440"/>
      <c r="H2885" s="440"/>
      <c r="I2885" s="440"/>
      <c r="J2885" s="440"/>
      <c r="K2885" s="41"/>
      <c r="L2885" s="41"/>
      <c r="N2885" s="41"/>
      <c r="R2885" s="41"/>
      <c r="S2885" s="41"/>
      <c r="U2885" s="440"/>
      <c r="V2885" s="440"/>
    </row>
    <row r="2886" spans="1:22" x14ac:dyDescent="0.2">
      <c r="A2886" s="123"/>
      <c r="B2886" s="333"/>
      <c r="C2886" s="345"/>
      <c r="D2886" s="345"/>
      <c r="E2886" s="372"/>
      <c r="F2886" s="372"/>
      <c r="G2886" s="440"/>
      <c r="H2886" s="440"/>
      <c r="I2886" s="440"/>
      <c r="J2886" s="440"/>
      <c r="K2886" s="41"/>
      <c r="L2886" s="41"/>
      <c r="N2886" s="41"/>
      <c r="R2886" s="41"/>
      <c r="S2886" s="41"/>
      <c r="U2886" s="440"/>
      <c r="V2886" s="440"/>
    </row>
    <row r="2887" spans="1:22" x14ac:dyDescent="0.2">
      <c r="A2887" s="123"/>
      <c r="B2887" s="333"/>
      <c r="C2887" s="345"/>
      <c r="D2887" s="345"/>
      <c r="E2887" s="372"/>
      <c r="F2887" s="372"/>
      <c r="G2887" s="440"/>
      <c r="H2887" s="440"/>
      <c r="I2887" s="440"/>
      <c r="J2887" s="440"/>
      <c r="K2887" s="41"/>
      <c r="L2887" s="41"/>
      <c r="N2887" s="41"/>
      <c r="R2887" s="41"/>
      <c r="S2887" s="41"/>
      <c r="U2887" s="440"/>
      <c r="V2887" s="440"/>
    </row>
    <row r="2888" spans="1:22" x14ac:dyDescent="0.2">
      <c r="A2888" s="123"/>
      <c r="B2888" s="333"/>
      <c r="C2888" s="345"/>
      <c r="D2888" s="345"/>
      <c r="E2888" s="372"/>
      <c r="F2888" s="372"/>
      <c r="G2888" s="440"/>
      <c r="H2888" s="440"/>
      <c r="I2888" s="440"/>
      <c r="J2888" s="440"/>
      <c r="K2888" s="41"/>
      <c r="L2888" s="41"/>
      <c r="N2888" s="41"/>
      <c r="R2888" s="41"/>
      <c r="S2888" s="41"/>
      <c r="U2888" s="440"/>
      <c r="V2888" s="440"/>
    </row>
    <row r="2889" spans="1:22" x14ac:dyDescent="0.2">
      <c r="A2889" s="123"/>
      <c r="B2889" s="333"/>
      <c r="C2889" s="345"/>
      <c r="D2889" s="345"/>
      <c r="E2889" s="372"/>
      <c r="F2889" s="372"/>
      <c r="G2889" s="440"/>
      <c r="H2889" s="440"/>
      <c r="I2889" s="440"/>
      <c r="J2889" s="440"/>
      <c r="K2889" s="41"/>
      <c r="L2889" s="41"/>
      <c r="N2889" s="41"/>
      <c r="R2889" s="41"/>
      <c r="S2889" s="41"/>
      <c r="U2889" s="440"/>
      <c r="V2889" s="440"/>
    </row>
    <row r="2890" spans="1:22" x14ac:dyDescent="0.2">
      <c r="A2890" s="123"/>
      <c r="B2890" s="333"/>
      <c r="C2890" s="345"/>
      <c r="D2890" s="345"/>
      <c r="E2890" s="372"/>
      <c r="F2890" s="372"/>
      <c r="G2890" s="440"/>
      <c r="H2890" s="440"/>
      <c r="I2890" s="440"/>
      <c r="J2890" s="440"/>
      <c r="K2890" s="41"/>
      <c r="L2890" s="41"/>
      <c r="N2890" s="41"/>
      <c r="R2890" s="41"/>
      <c r="S2890" s="41"/>
      <c r="U2890" s="440"/>
      <c r="V2890" s="440"/>
    </row>
    <row r="2891" spans="1:22" x14ac:dyDescent="0.2">
      <c r="A2891" s="123"/>
      <c r="B2891" s="333"/>
      <c r="C2891" s="345"/>
      <c r="D2891" s="345"/>
      <c r="E2891" s="372"/>
      <c r="F2891" s="372"/>
      <c r="G2891" s="440"/>
      <c r="H2891" s="440"/>
      <c r="I2891" s="440"/>
      <c r="J2891" s="440"/>
      <c r="K2891" s="41"/>
      <c r="L2891" s="41"/>
      <c r="N2891" s="41"/>
      <c r="R2891" s="41"/>
      <c r="S2891" s="41"/>
      <c r="U2891" s="440"/>
      <c r="V2891" s="440"/>
    </row>
    <row r="2892" spans="1:22" x14ac:dyDescent="0.2">
      <c r="A2892" s="123"/>
      <c r="B2892" s="333"/>
      <c r="C2892" s="345"/>
      <c r="D2892" s="345"/>
      <c r="E2892" s="372"/>
      <c r="F2892" s="372"/>
      <c r="G2892" s="440"/>
      <c r="H2892" s="440"/>
      <c r="I2892" s="440"/>
      <c r="J2892" s="440"/>
      <c r="K2892" s="41"/>
      <c r="L2892" s="41"/>
      <c r="N2892" s="41"/>
      <c r="R2892" s="41"/>
      <c r="S2892" s="41"/>
      <c r="U2892" s="440"/>
      <c r="V2892" s="440"/>
    </row>
    <row r="2893" spans="1:22" x14ac:dyDescent="0.2">
      <c r="A2893" s="123"/>
      <c r="B2893" s="333"/>
      <c r="C2893" s="345"/>
      <c r="D2893" s="345"/>
      <c r="E2893" s="372"/>
      <c r="F2893" s="372"/>
      <c r="G2893" s="440"/>
      <c r="H2893" s="440"/>
      <c r="I2893" s="440"/>
      <c r="J2893" s="440"/>
      <c r="K2893" s="41"/>
      <c r="L2893" s="41"/>
      <c r="N2893" s="41"/>
      <c r="R2893" s="41"/>
      <c r="S2893" s="41"/>
      <c r="U2893" s="440"/>
      <c r="V2893" s="440"/>
    </row>
    <row r="2894" spans="1:22" x14ac:dyDescent="0.2">
      <c r="A2894" s="123"/>
      <c r="B2894" s="333"/>
      <c r="C2894" s="345"/>
      <c r="D2894" s="345"/>
      <c r="E2894" s="372"/>
      <c r="F2894" s="372"/>
      <c r="G2894" s="440"/>
      <c r="H2894" s="440"/>
      <c r="I2894" s="440"/>
      <c r="J2894" s="440"/>
      <c r="K2894" s="41"/>
      <c r="L2894" s="41"/>
      <c r="N2894" s="41"/>
      <c r="R2894" s="41"/>
      <c r="S2894" s="41"/>
      <c r="U2894" s="440"/>
      <c r="V2894" s="440"/>
    </row>
    <row r="2895" spans="1:22" x14ac:dyDescent="0.2">
      <c r="A2895" s="123"/>
      <c r="B2895" s="333"/>
      <c r="C2895" s="345"/>
      <c r="D2895" s="345"/>
      <c r="E2895" s="372"/>
      <c r="F2895" s="372"/>
      <c r="G2895" s="440"/>
      <c r="H2895" s="440"/>
      <c r="I2895" s="440"/>
      <c r="J2895" s="440"/>
      <c r="K2895" s="41"/>
      <c r="L2895" s="41"/>
      <c r="N2895" s="41"/>
      <c r="R2895" s="41"/>
      <c r="S2895" s="41"/>
      <c r="U2895" s="440"/>
      <c r="V2895" s="440"/>
    </row>
    <row r="2896" spans="1:22" x14ac:dyDescent="0.2">
      <c r="A2896" s="123"/>
      <c r="B2896" s="333"/>
      <c r="C2896" s="345"/>
      <c r="D2896" s="345"/>
      <c r="E2896" s="372"/>
      <c r="F2896" s="372"/>
      <c r="G2896" s="440"/>
      <c r="H2896" s="440"/>
      <c r="I2896" s="440"/>
      <c r="J2896" s="440"/>
      <c r="K2896" s="41"/>
      <c r="L2896" s="41"/>
      <c r="N2896" s="41"/>
      <c r="R2896" s="41"/>
      <c r="S2896" s="41"/>
      <c r="U2896" s="440"/>
      <c r="V2896" s="440"/>
    </row>
    <row r="2897" spans="1:22" x14ac:dyDescent="0.2">
      <c r="A2897" s="123"/>
      <c r="B2897" s="333"/>
      <c r="C2897" s="345"/>
      <c r="D2897" s="345"/>
      <c r="E2897" s="372"/>
      <c r="F2897" s="372"/>
      <c r="G2897" s="440"/>
      <c r="H2897" s="440"/>
      <c r="I2897" s="440"/>
      <c r="J2897" s="440"/>
      <c r="K2897" s="41"/>
      <c r="L2897" s="41"/>
      <c r="N2897" s="41"/>
      <c r="R2897" s="41"/>
      <c r="S2897" s="41"/>
      <c r="U2897" s="440"/>
      <c r="V2897" s="440"/>
    </row>
    <row r="2898" spans="1:22" x14ac:dyDescent="0.2">
      <c r="A2898" s="123"/>
      <c r="B2898" s="333"/>
      <c r="C2898" s="345"/>
      <c r="D2898" s="345"/>
      <c r="E2898" s="372"/>
      <c r="F2898" s="372"/>
      <c r="G2898" s="440"/>
      <c r="H2898" s="440"/>
      <c r="I2898" s="440"/>
      <c r="J2898" s="440"/>
      <c r="K2898" s="41"/>
      <c r="L2898" s="41"/>
      <c r="N2898" s="41"/>
      <c r="R2898" s="41"/>
      <c r="S2898" s="41"/>
      <c r="U2898" s="440"/>
      <c r="V2898" s="440"/>
    </row>
    <row r="2899" spans="1:22" x14ac:dyDescent="0.2">
      <c r="A2899" s="123"/>
      <c r="B2899" s="333"/>
      <c r="C2899" s="345"/>
      <c r="D2899" s="345"/>
      <c r="E2899" s="372"/>
      <c r="F2899" s="372"/>
      <c r="G2899" s="440"/>
      <c r="H2899" s="440"/>
      <c r="I2899" s="440"/>
      <c r="J2899" s="440"/>
      <c r="K2899" s="41"/>
      <c r="L2899" s="41"/>
      <c r="N2899" s="41"/>
      <c r="R2899" s="41"/>
      <c r="S2899" s="41"/>
      <c r="U2899" s="440"/>
      <c r="V2899" s="440"/>
    </row>
    <row r="2900" spans="1:22" x14ac:dyDescent="0.2">
      <c r="A2900" s="123"/>
      <c r="B2900" s="333"/>
      <c r="C2900" s="345"/>
      <c r="D2900" s="345"/>
      <c r="E2900" s="372"/>
      <c r="F2900" s="372"/>
      <c r="G2900" s="440"/>
      <c r="H2900" s="440"/>
      <c r="I2900" s="440"/>
      <c r="J2900" s="440"/>
      <c r="K2900" s="41"/>
      <c r="L2900" s="41"/>
      <c r="N2900" s="41"/>
      <c r="R2900" s="41"/>
      <c r="S2900" s="41"/>
      <c r="U2900" s="440"/>
      <c r="V2900" s="440"/>
    </row>
    <row r="2901" spans="1:22" x14ac:dyDescent="0.2">
      <c r="A2901" s="123"/>
      <c r="B2901" s="333"/>
      <c r="C2901" s="345"/>
      <c r="D2901" s="345"/>
      <c r="E2901" s="372"/>
      <c r="F2901" s="372"/>
      <c r="G2901" s="440"/>
      <c r="H2901" s="440"/>
      <c r="I2901" s="440"/>
      <c r="J2901" s="440"/>
      <c r="K2901" s="41"/>
      <c r="L2901" s="41"/>
      <c r="N2901" s="41"/>
      <c r="R2901" s="41"/>
      <c r="S2901" s="41"/>
      <c r="U2901" s="440"/>
      <c r="V2901" s="440"/>
    </row>
    <row r="2902" spans="1:22" x14ac:dyDescent="0.2">
      <c r="A2902" s="123"/>
      <c r="B2902" s="333"/>
      <c r="C2902" s="345"/>
      <c r="D2902" s="345"/>
      <c r="E2902" s="372"/>
      <c r="F2902" s="372"/>
      <c r="G2902" s="440"/>
      <c r="H2902" s="440"/>
      <c r="I2902" s="440"/>
      <c r="J2902" s="440"/>
      <c r="K2902" s="41"/>
      <c r="L2902" s="41"/>
      <c r="N2902" s="41"/>
      <c r="R2902" s="41"/>
      <c r="S2902" s="41"/>
      <c r="U2902" s="440"/>
      <c r="V2902" s="440"/>
    </row>
    <row r="2903" spans="1:22" x14ac:dyDescent="0.2">
      <c r="A2903" s="123"/>
      <c r="B2903" s="333"/>
      <c r="C2903" s="345"/>
      <c r="D2903" s="345"/>
      <c r="E2903" s="372"/>
      <c r="F2903" s="372"/>
      <c r="G2903" s="440"/>
      <c r="H2903" s="440"/>
      <c r="I2903" s="440"/>
      <c r="J2903" s="440"/>
      <c r="K2903" s="41"/>
      <c r="L2903" s="41"/>
      <c r="N2903" s="41"/>
      <c r="R2903" s="41"/>
      <c r="S2903" s="41"/>
      <c r="U2903" s="440"/>
      <c r="V2903" s="440"/>
    </row>
    <row r="2904" spans="1:22" x14ac:dyDescent="0.2">
      <c r="A2904" s="123"/>
      <c r="B2904" s="333"/>
      <c r="C2904" s="345"/>
      <c r="D2904" s="345"/>
      <c r="E2904" s="372"/>
      <c r="F2904" s="372"/>
      <c r="G2904" s="440"/>
      <c r="H2904" s="440"/>
      <c r="I2904" s="440"/>
      <c r="J2904" s="440"/>
      <c r="K2904" s="41"/>
      <c r="L2904" s="41"/>
      <c r="N2904" s="41"/>
      <c r="R2904" s="41"/>
      <c r="S2904" s="41"/>
      <c r="U2904" s="440"/>
      <c r="V2904" s="440"/>
    </row>
    <row r="2905" spans="1:22" x14ac:dyDescent="0.2">
      <c r="A2905" s="123"/>
      <c r="B2905" s="333"/>
      <c r="C2905" s="345"/>
      <c r="D2905" s="345"/>
      <c r="E2905" s="372"/>
      <c r="F2905" s="372"/>
      <c r="G2905" s="440"/>
      <c r="H2905" s="440"/>
      <c r="I2905" s="440"/>
      <c r="J2905" s="440"/>
      <c r="K2905" s="41"/>
      <c r="L2905" s="41"/>
      <c r="N2905" s="41"/>
      <c r="R2905" s="41"/>
      <c r="S2905" s="41"/>
      <c r="U2905" s="440"/>
      <c r="V2905" s="440"/>
    </row>
    <row r="2906" spans="1:22" x14ac:dyDescent="0.2">
      <c r="A2906" s="123"/>
      <c r="B2906" s="333"/>
      <c r="C2906" s="345"/>
      <c r="D2906" s="345"/>
      <c r="E2906" s="372"/>
      <c r="F2906" s="372"/>
      <c r="G2906" s="440"/>
      <c r="H2906" s="440"/>
      <c r="I2906" s="440"/>
      <c r="J2906" s="440"/>
      <c r="K2906" s="41"/>
      <c r="L2906" s="41"/>
      <c r="N2906" s="41"/>
      <c r="R2906" s="41"/>
      <c r="S2906" s="41"/>
      <c r="U2906" s="440"/>
      <c r="V2906" s="440"/>
    </row>
    <row r="2907" spans="1:22" x14ac:dyDescent="0.2">
      <c r="A2907" s="123"/>
      <c r="B2907" s="333"/>
      <c r="C2907" s="345"/>
      <c r="D2907" s="345"/>
      <c r="E2907" s="372"/>
      <c r="F2907" s="372"/>
      <c r="G2907" s="440"/>
      <c r="H2907" s="440"/>
      <c r="I2907" s="440"/>
      <c r="J2907" s="440"/>
      <c r="K2907" s="41"/>
      <c r="L2907" s="41"/>
      <c r="N2907" s="41"/>
      <c r="R2907" s="41"/>
      <c r="S2907" s="41"/>
      <c r="U2907" s="440"/>
      <c r="V2907" s="440"/>
    </row>
    <row r="2908" spans="1:22" x14ac:dyDescent="0.2">
      <c r="A2908" s="123"/>
      <c r="B2908" s="333"/>
      <c r="C2908" s="345"/>
      <c r="D2908" s="345"/>
      <c r="E2908" s="372"/>
      <c r="F2908" s="372"/>
      <c r="G2908" s="440"/>
      <c r="H2908" s="440"/>
      <c r="I2908" s="440"/>
      <c r="J2908" s="440"/>
      <c r="K2908" s="41"/>
      <c r="L2908" s="41"/>
      <c r="N2908" s="41"/>
      <c r="R2908" s="41"/>
      <c r="S2908" s="41"/>
      <c r="U2908" s="440"/>
      <c r="V2908" s="440"/>
    </row>
    <row r="2909" spans="1:22" x14ac:dyDescent="0.2">
      <c r="A2909" s="123"/>
      <c r="B2909" s="333"/>
      <c r="C2909" s="345"/>
      <c r="D2909" s="345"/>
      <c r="E2909" s="372"/>
      <c r="F2909" s="372"/>
      <c r="G2909" s="440"/>
      <c r="H2909" s="440"/>
      <c r="I2909" s="440"/>
      <c r="J2909" s="440"/>
      <c r="K2909" s="41"/>
      <c r="L2909" s="41"/>
      <c r="N2909" s="41"/>
      <c r="R2909" s="41"/>
      <c r="S2909" s="41"/>
      <c r="U2909" s="440"/>
      <c r="V2909" s="440"/>
    </row>
    <row r="2910" spans="1:22" x14ac:dyDescent="0.2">
      <c r="A2910" s="123"/>
      <c r="B2910" s="333"/>
      <c r="C2910" s="345"/>
      <c r="D2910" s="345"/>
      <c r="E2910" s="372"/>
      <c r="F2910" s="372"/>
      <c r="G2910" s="440"/>
      <c r="H2910" s="440"/>
      <c r="I2910" s="440"/>
      <c r="J2910" s="440"/>
      <c r="K2910" s="41"/>
      <c r="L2910" s="41"/>
      <c r="N2910" s="41"/>
      <c r="R2910" s="41"/>
      <c r="S2910" s="41"/>
      <c r="U2910" s="440"/>
      <c r="V2910" s="440"/>
    </row>
    <row r="2911" spans="1:22" x14ac:dyDescent="0.2">
      <c r="A2911" s="123"/>
      <c r="B2911" s="333"/>
      <c r="C2911" s="345"/>
      <c r="D2911" s="345"/>
      <c r="E2911" s="372"/>
      <c r="F2911" s="372"/>
      <c r="G2911" s="440"/>
      <c r="H2911" s="440"/>
      <c r="I2911" s="440"/>
      <c r="J2911" s="440"/>
      <c r="K2911" s="41"/>
      <c r="L2911" s="41"/>
      <c r="N2911" s="41"/>
      <c r="R2911" s="41"/>
      <c r="S2911" s="41"/>
      <c r="U2911" s="440"/>
      <c r="V2911" s="440"/>
    </row>
    <row r="2912" spans="1:22" x14ac:dyDescent="0.2">
      <c r="A2912" s="123"/>
      <c r="B2912" s="333"/>
      <c r="C2912" s="345"/>
      <c r="D2912" s="345"/>
      <c r="E2912" s="372"/>
      <c r="F2912" s="372"/>
      <c r="G2912" s="440"/>
      <c r="H2912" s="440"/>
      <c r="I2912" s="440"/>
      <c r="J2912" s="440"/>
      <c r="K2912" s="41"/>
      <c r="L2912" s="41"/>
      <c r="N2912" s="41"/>
      <c r="R2912" s="41"/>
      <c r="S2912" s="41"/>
      <c r="U2912" s="440"/>
      <c r="V2912" s="440"/>
    </row>
    <row r="2913" spans="1:22" x14ac:dyDescent="0.2">
      <c r="A2913" s="123"/>
      <c r="B2913" s="333"/>
      <c r="C2913" s="345"/>
      <c r="D2913" s="345"/>
      <c r="E2913" s="372"/>
      <c r="F2913" s="372"/>
      <c r="G2913" s="440"/>
      <c r="H2913" s="440"/>
      <c r="I2913" s="440"/>
      <c r="J2913" s="440"/>
      <c r="K2913" s="41"/>
      <c r="L2913" s="41"/>
      <c r="N2913" s="41"/>
      <c r="R2913" s="41"/>
      <c r="S2913" s="41"/>
      <c r="U2913" s="440"/>
      <c r="V2913" s="440"/>
    </row>
    <row r="2914" spans="1:22" x14ac:dyDescent="0.2">
      <c r="A2914" s="123"/>
      <c r="B2914" s="333"/>
      <c r="C2914" s="345"/>
      <c r="D2914" s="345"/>
      <c r="E2914" s="372"/>
      <c r="F2914" s="372"/>
      <c r="G2914" s="440"/>
      <c r="H2914" s="440"/>
      <c r="I2914" s="440"/>
      <c r="J2914" s="440"/>
      <c r="K2914" s="41"/>
      <c r="L2914" s="41"/>
      <c r="N2914" s="41"/>
      <c r="R2914" s="41"/>
      <c r="S2914" s="41"/>
      <c r="U2914" s="440"/>
      <c r="V2914" s="440"/>
    </row>
    <row r="2915" spans="1:22" x14ac:dyDescent="0.2">
      <c r="A2915" s="123"/>
      <c r="B2915" s="333"/>
      <c r="C2915" s="345"/>
      <c r="D2915" s="345"/>
      <c r="E2915" s="372"/>
      <c r="F2915" s="372"/>
      <c r="G2915" s="440"/>
      <c r="H2915" s="440"/>
      <c r="I2915" s="440"/>
      <c r="J2915" s="440"/>
      <c r="K2915" s="41"/>
      <c r="L2915" s="41"/>
      <c r="N2915" s="41"/>
      <c r="R2915" s="41"/>
      <c r="S2915" s="41"/>
      <c r="U2915" s="440"/>
      <c r="V2915" s="440"/>
    </row>
    <row r="2916" spans="1:22" x14ac:dyDescent="0.2">
      <c r="A2916" s="123"/>
      <c r="B2916" s="333"/>
      <c r="C2916" s="345"/>
      <c r="D2916" s="345"/>
      <c r="E2916" s="372"/>
      <c r="F2916" s="372"/>
      <c r="G2916" s="440"/>
      <c r="H2916" s="440"/>
      <c r="I2916" s="440"/>
      <c r="J2916" s="440"/>
      <c r="K2916" s="41"/>
      <c r="L2916" s="41"/>
      <c r="N2916" s="41"/>
      <c r="R2916" s="41"/>
      <c r="S2916" s="41"/>
      <c r="U2916" s="440"/>
      <c r="V2916" s="440"/>
    </row>
    <row r="2917" spans="1:22" x14ac:dyDescent="0.2">
      <c r="A2917" s="123"/>
      <c r="B2917" s="333"/>
      <c r="C2917" s="345"/>
      <c r="D2917" s="345"/>
      <c r="E2917" s="372"/>
      <c r="F2917" s="372"/>
      <c r="G2917" s="440"/>
      <c r="H2917" s="440"/>
      <c r="I2917" s="440"/>
      <c r="J2917" s="440"/>
      <c r="K2917" s="41"/>
      <c r="L2917" s="41"/>
      <c r="N2917" s="41"/>
      <c r="R2917" s="41"/>
      <c r="S2917" s="41"/>
      <c r="U2917" s="440"/>
      <c r="V2917" s="440"/>
    </row>
    <row r="2918" spans="1:22" x14ac:dyDescent="0.2">
      <c r="A2918" s="123"/>
      <c r="B2918" s="333"/>
      <c r="C2918" s="345"/>
      <c r="D2918" s="345"/>
      <c r="E2918" s="372"/>
      <c r="F2918" s="372"/>
      <c r="G2918" s="440"/>
      <c r="H2918" s="440"/>
      <c r="I2918" s="440"/>
      <c r="J2918" s="440"/>
      <c r="K2918" s="41"/>
      <c r="L2918" s="41"/>
      <c r="N2918" s="41"/>
      <c r="R2918" s="41"/>
      <c r="S2918" s="41"/>
      <c r="U2918" s="440"/>
      <c r="V2918" s="440"/>
    </row>
    <row r="2919" spans="1:22" x14ac:dyDescent="0.2">
      <c r="A2919" s="123"/>
      <c r="B2919" s="333"/>
      <c r="C2919" s="345"/>
      <c r="D2919" s="345"/>
      <c r="E2919" s="372"/>
      <c r="F2919" s="372"/>
      <c r="G2919" s="440"/>
      <c r="H2919" s="440"/>
      <c r="I2919" s="440"/>
      <c r="J2919" s="440"/>
      <c r="K2919" s="41"/>
      <c r="L2919" s="41"/>
      <c r="N2919" s="41"/>
      <c r="R2919" s="41"/>
      <c r="S2919" s="41"/>
      <c r="U2919" s="440"/>
      <c r="V2919" s="440"/>
    </row>
    <row r="2920" spans="1:22" x14ac:dyDescent="0.2">
      <c r="A2920" s="123"/>
      <c r="B2920" s="333"/>
      <c r="C2920" s="345"/>
      <c r="D2920" s="345"/>
      <c r="E2920" s="372"/>
      <c r="F2920" s="372"/>
      <c r="G2920" s="440"/>
      <c r="H2920" s="440"/>
      <c r="I2920" s="440"/>
      <c r="J2920" s="440"/>
      <c r="K2920" s="41"/>
      <c r="L2920" s="41"/>
      <c r="N2920" s="41"/>
      <c r="R2920" s="41"/>
      <c r="S2920" s="41"/>
      <c r="U2920" s="440"/>
      <c r="V2920" s="440"/>
    </row>
    <row r="2921" spans="1:22" x14ac:dyDescent="0.2">
      <c r="A2921" s="123"/>
      <c r="B2921" s="333"/>
      <c r="C2921" s="345"/>
      <c r="D2921" s="345"/>
      <c r="E2921" s="372"/>
      <c r="F2921" s="372"/>
      <c r="G2921" s="440"/>
      <c r="H2921" s="440"/>
      <c r="I2921" s="440"/>
      <c r="J2921" s="440"/>
      <c r="K2921" s="41"/>
      <c r="L2921" s="41"/>
      <c r="N2921" s="41"/>
      <c r="R2921" s="41"/>
      <c r="S2921" s="41"/>
      <c r="U2921" s="440"/>
      <c r="V2921" s="440"/>
    </row>
    <row r="2922" spans="1:22" x14ac:dyDescent="0.2">
      <c r="A2922" s="123"/>
      <c r="B2922" s="333"/>
      <c r="C2922" s="345"/>
      <c r="D2922" s="345"/>
      <c r="E2922" s="372"/>
      <c r="F2922" s="372"/>
      <c r="G2922" s="440"/>
      <c r="H2922" s="440"/>
      <c r="I2922" s="440"/>
      <c r="J2922" s="440"/>
      <c r="K2922" s="41"/>
      <c r="L2922" s="41"/>
      <c r="N2922" s="41"/>
      <c r="R2922" s="41"/>
      <c r="S2922" s="41"/>
      <c r="U2922" s="440"/>
      <c r="V2922" s="440"/>
    </row>
    <row r="2923" spans="1:22" x14ac:dyDescent="0.2">
      <c r="A2923" s="123"/>
      <c r="B2923" s="333"/>
      <c r="C2923" s="345"/>
      <c r="D2923" s="345"/>
      <c r="E2923" s="372"/>
      <c r="F2923" s="372"/>
      <c r="G2923" s="440"/>
      <c r="H2923" s="440"/>
      <c r="I2923" s="440"/>
      <c r="J2923" s="440"/>
      <c r="K2923" s="41"/>
      <c r="L2923" s="41"/>
      <c r="N2923" s="41"/>
      <c r="R2923" s="41"/>
      <c r="S2923" s="41"/>
      <c r="U2923" s="440"/>
      <c r="V2923" s="440"/>
    </row>
    <row r="2924" spans="1:22" x14ac:dyDescent="0.2">
      <c r="A2924" s="123"/>
      <c r="B2924" s="333"/>
      <c r="C2924" s="345"/>
      <c r="D2924" s="345"/>
      <c r="E2924" s="372"/>
      <c r="F2924" s="372"/>
      <c r="G2924" s="440"/>
      <c r="H2924" s="440"/>
      <c r="I2924" s="440"/>
      <c r="J2924" s="440"/>
      <c r="K2924" s="41"/>
      <c r="L2924" s="41"/>
      <c r="N2924" s="41"/>
      <c r="R2924" s="41"/>
      <c r="S2924" s="41"/>
      <c r="U2924" s="440"/>
      <c r="V2924" s="440"/>
    </row>
    <row r="2925" spans="1:22" x14ac:dyDescent="0.2">
      <c r="A2925" s="123"/>
      <c r="B2925" s="333"/>
      <c r="C2925" s="345"/>
      <c r="D2925" s="345"/>
      <c r="E2925" s="372"/>
      <c r="F2925" s="372"/>
      <c r="G2925" s="440"/>
      <c r="H2925" s="440"/>
      <c r="I2925" s="440"/>
      <c r="J2925" s="440"/>
      <c r="K2925" s="41"/>
      <c r="L2925" s="41"/>
      <c r="N2925" s="41"/>
      <c r="R2925" s="41"/>
      <c r="S2925" s="41"/>
      <c r="U2925" s="440"/>
      <c r="V2925" s="440"/>
    </row>
    <row r="2926" spans="1:22" x14ac:dyDescent="0.2">
      <c r="A2926" s="123"/>
      <c r="B2926" s="333"/>
      <c r="C2926" s="345"/>
      <c r="D2926" s="345"/>
      <c r="E2926" s="372"/>
      <c r="F2926" s="372"/>
      <c r="G2926" s="440"/>
      <c r="H2926" s="440"/>
      <c r="I2926" s="440"/>
      <c r="J2926" s="440"/>
      <c r="K2926" s="41"/>
      <c r="L2926" s="41"/>
      <c r="N2926" s="41"/>
      <c r="R2926" s="41"/>
      <c r="S2926" s="41"/>
      <c r="U2926" s="440"/>
      <c r="V2926" s="440"/>
    </row>
    <row r="2927" spans="1:22" x14ac:dyDescent="0.2">
      <c r="A2927" s="123"/>
      <c r="B2927" s="333"/>
      <c r="C2927" s="345"/>
      <c r="D2927" s="345"/>
      <c r="E2927" s="372"/>
      <c r="F2927" s="372"/>
      <c r="G2927" s="440"/>
      <c r="H2927" s="440"/>
      <c r="I2927" s="440"/>
      <c r="J2927" s="440"/>
      <c r="K2927" s="41"/>
      <c r="L2927" s="41"/>
      <c r="N2927" s="41"/>
      <c r="R2927" s="41"/>
      <c r="S2927" s="41"/>
      <c r="U2927" s="440"/>
      <c r="V2927" s="440"/>
    </row>
    <row r="2928" spans="1:22" x14ac:dyDescent="0.2">
      <c r="A2928" s="123"/>
      <c r="B2928" s="333"/>
      <c r="C2928" s="345"/>
      <c r="D2928" s="345"/>
      <c r="E2928" s="372"/>
      <c r="F2928" s="372"/>
      <c r="G2928" s="440"/>
      <c r="H2928" s="440"/>
      <c r="I2928" s="440"/>
      <c r="J2928" s="440"/>
      <c r="K2928" s="41"/>
      <c r="L2928" s="41"/>
      <c r="N2928" s="41"/>
      <c r="R2928" s="41"/>
      <c r="S2928" s="41"/>
      <c r="U2928" s="440"/>
      <c r="V2928" s="440"/>
    </row>
    <row r="2929" spans="1:22" x14ac:dyDescent="0.2">
      <c r="A2929" s="123"/>
      <c r="B2929" s="333"/>
      <c r="C2929" s="345"/>
      <c r="D2929" s="345"/>
      <c r="E2929" s="372"/>
      <c r="F2929" s="372"/>
      <c r="G2929" s="440"/>
      <c r="H2929" s="440"/>
      <c r="I2929" s="440"/>
      <c r="J2929" s="440"/>
      <c r="K2929" s="41"/>
      <c r="L2929" s="41"/>
      <c r="N2929" s="41"/>
      <c r="R2929" s="41"/>
      <c r="S2929" s="41"/>
      <c r="U2929" s="440"/>
      <c r="V2929" s="440"/>
    </row>
    <row r="2930" spans="1:22" x14ac:dyDescent="0.2">
      <c r="A2930" s="123"/>
      <c r="B2930" s="333"/>
      <c r="C2930" s="345"/>
      <c r="D2930" s="345"/>
      <c r="E2930" s="372"/>
      <c r="F2930" s="372"/>
      <c r="G2930" s="440"/>
      <c r="H2930" s="440"/>
      <c r="I2930" s="440"/>
      <c r="J2930" s="440"/>
      <c r="K2930" s="41"/>
      <c r="L2930" s="41"/>
      <c r="N2930" s="41"/>
      <c r="R2930" s="41"/>
      <c r="S2930" s="41"/>
      <c r="U2930" s="440"/>
      <c r="V2930" s="440"/>
    </row>
    <row r="2931" spans="1:22" x14ac:dyDescent="0.2">
      <c r="A2931" s="123"/>
      <c r="B2931" s="333"/>
      <c r="C2931" s="345"/>
      <c r="D2931" s="345"/>
      <c r="E2931" s="372"/>
      <c r="F2931" s="372"/>
      <c r="G2931" s="440"/>
      <c r="H2931" s="440"/>
      <c r="I2931" s="440"/>
      <c r="J2931" s="440"/>
      <c r="K2931" s="41"/>
      <c r="L2931" s="41"/>
      <c r="N2931" s="41"/>
      <c r="R2931" s="41"/>
      <c r="S2931" s="41"/>
      <c r="U2931" s="440"/>
      <c r="V2931" s="440"/>
    </row>
    <row r="2932" spans="1:22" x14ac:dyDescent="0.2">
      <c r="A2932" s="123"/>
      <c r="B2932" s="333"/>
      <c r="C2932" s="345"/>
      <c r="D2932" s="345"/>
      <c r="E2932" s="372"/>
      <c r="F2932" s="372"/>
      <c r="G2932" s="440"/>
      <c r="H2932" s="440"/>
      <c r="I2932" s="440"/>
      <c r="J2932" s="440"/>
      <c r="K2932" s="41"/>
      <c r="L2932" s="41"/>
      <c r="N2932" s="41"/>
      <c r="R2932" s="41"/>
      <c r="S2932" s="41"/>
      <c r="U2932" s="440"/>
      <c r="V2932" s="440"/>
    </row>
    <row r="2933" spans="1:22" x14ac:dyDescent="0.2">
      <c r="A2933" s="123"/>
      <c r="B2933" s="333"/>
      <c r="C2933" s="345"/>
      <c r="D2933" s="345"/>
      <c r="E2933" s="372"/>
      <c r="F2933" s="372"/>
      <c r="G2933" s="440"/>
      <c r="H2933" s="440"/>
      <c r="I2933" s="440"/>
      <c r="J2933" s="440"/>
      <c r="K2933" s="41"/>
      <c r="L2933" s="41"/>
      <c r="N2933" s="41"/>
      <c r="R2933" s="41"/>
      <c r="S2933" s="41"/>
      <c r="U2933" s="440"/>
      <c r="V2933" s="440"/>
    </row>
    <row r="2934" spans="1:22" x14ac:dyDescent="0.2">
      <c r="A2934" s="123"/>
      <c r="B2934" s="333"/>
      <c r="C2934" s="345"/>
      <c r="D2934" s="345"/>
      <c r="E2934" s="372"/>
      <c r="F2934" s="372"/>
      <c r="G2934" s="440"/>
      <c r="H2934" s="440"/>
      <c r="I2934" s="440"/>
      <c r="J2934" s="440"/>
      <c r="K2934" s="41"/>
      <c r="L2934" s="41"/>
      <c r="N2934" s="41"/>
      <c r="R2934" s="41"/>
      <c r="S2934" s="41"/>
      <c r="U2934" s="440"/>
      <c r="V2934" s="440"/>
    </row>
    <row r="2935" spans="1:22" x14ac:dyDescent="0.2">
      <c r="A2935" s="123"/>
      <c r="B2935" s="333"/>
      <c r="C2935" s="345"/>
      <c r="D2935" s="345"/>
      <c r="E2935" s="372"/>
      <c r="F2935" s="372"/>
      <c r="G2935" s="440"/>
      <c r="H2935" s="440"/>
      <c r="I2935" s="440"/>
      <c r="J2935" s="440"/>
      <c r="K2935" s="41"/>
      <c r="L2935" s="41"/>
      <c r="N2935" s="41"/>
      <c r="R2935" s="41"/>
      <c r="S2935" s="41"/>
      <c r="U2935" s="440"/>
      <c r="V2935" s="440"/>
    </row>
    <row r="2936" spans="1:22" x14ac:dyDescent="0.2">
      <c r="A2936" s="123"/>
      <c r="B2936" s="333"/>
      <c r="C2936" s="345"/>
      <c r="D2936" s="345"/>
      <c r="E2936" s="372"/>
      <c r="F2936" s="372"/>
      <c r="G2936" s="440"/>
      <c r="H2936" s="440"/>
      <c r="I2936" s="440"/>
      <c r="J2936" s="440"/>
      <c r="K2936" s="41"/>
      <c r="L2936" s="41"/>
      <c r="N2936" s="41"/>
      <c r="R2936" s="41"/>
      <c r="S2936" s="41"/>
      <c r="U2936" s="440"/>
      <c r="V2936" s="440"/>
    </row>
    <row r="2937" spans="1:22" x14ac:dyDescent="0.2">
      <c r="A2937" s="123"/>
      <c r="B2937" s="333"/>
      <c r="C2937" s="345"/>
      <c r="D2937" s="345"/>
      <c r="E2937" s="372"/>
      <c r="F2937" s="372"/>
      <c r="G2937" s="440"/>
      <c r="H2937" s="440"/>
      <c r="I2937" s="440"/>
      <c r="J2937" s="440"/>
      <c r="K2937" s="41"/>
      <c r="L2937" s="41"/>
      <c r="N2937" s="41"/>
      <c r="R2937" s="41"/>
      <c r="S2937" s="41"/>
      <c r="U2937" s="440"/>
      <c r="V2937" s="440"/>
    </row>
    <row r="2938" spans="1:22" x14ac:dyDescent="0.2">
      <c r="A2938" s="123"/>
      <c r="B2938" s="333"/>
      <c r="C2938" s="345"/>
      <c r="D2938" s="345"/>
      <c r="E2938" s="372"/>
      <c r="F2938" s="372"/>
      <c r="G2938" s="440"/>
      <c r="H2938" s="440"/>
      <c r="I2938" s="440"/>
      <c r="J2938" s="440"/>
      <c r="K2938" s="41"/>
      <c r="L2938" s="41"/>
      <c r="N2938" s="41"/>
      <c r="R2938" s="41"/>
      <c r="S2938" s="41"/>
      <c r="U2938" s="440"/>
      <c r="V2938" s="440"/>
    </row>
    <row r="2939" spans="1:22" x14ac:dyDescent="0.2">
      <c r="A2939" s="123"/>
      <c r="B2939" s="333"/>
      <c r="C2939" s="345"/>
      <c r="D2939" s="345"/>
      <c r="E2939" s="372"/>
      <c r="F2939" s="372"/>
      <c r="G2939" s="440"/>
      <c r="H2939" s="440"/>
      <c r="I2939" s="440"/>
      <c r="J2939" s="440"/>
      <c r="K2939" s="41"/>
      <c r="L2939" s="41"/>
      <c r="N2939" s="41"/>
      <c r="R2939" s="41"/>
      <c r="S2939" s="41"/>
      <c r="U2939" s="440"/>
      <c r="V2939" s="440"/>
    </row>
    <row r="2940" spans="1:22" x14ac:dyDescent="0.2">
      <c r="A2940" s="123"/>
      <c r="B2940" s="333"/>
      <c r="C2940" s="345"/>
      <c r="D2940" s="345"/>
      <c r="E2940" s="372"/>
      <c r="F2940" s="372"/>
      <c r="G2940" s="440"/>
      <c r="H2940" s="440"/>
      <c r="I2940" s="440"/>
      <c r="J2940" s="440"/>
      <c r="K2940" s="41"/>
      <c r="L2940" s="41"/>
      <c r="N2940" s="41"/>
      <c r="R2940" s="41"/>
      <c r="S2940" s="41"/>
      <c r="U2940" s="440"/>
      <c r="V2940" s="440"/>
    </row>
    <row r="2941" spans="1:22" x14ac:dyDescent="0.2">
      <c r="A2941" s="123"/>
      <c r="B2941" s="333"/>
      <c r="C2941" s="345"/>
      <c r="D2941" s="345"/>
      <c r="E2941" s="372"/>
      <c r="F2941" s="372"/>
      <c r="G2941" s="440"/>
      <c r="H2941" s="440"/>
      <c r="I2941" s="440"/>
      <c r="J2941" s="440"/>
      <c r="K2941" s="41"/>
      <c r="L2941" s="41"/>
      <c r="N2941" s="41"/>
      <c r="R2941" s="41"/>
      <c r="S2941" s="41"/>
      <c r="U2941" s="440"/>
      <c r="V2941" s="440"/>
    </row>
    <row r="2942" spans="1:22" x14ac:dyDescent="0.2">
      <c r="A2942" s="123"/>
      <c r="B2942" s="333"/>
      <c r="C2942" s="345"/>
      <c r="D2942" s="345"/>
      <c r="E2942" s="372"/>
      <c r="F2942" s="372"/>
      <c r="G2942" s="440"/>
      <c r="H2942" s="440"/>
      <c r="I2942" s="440"/>
      <c r="J2942" s="440"/>
      <c r="K2942" s="41"/>
      <c r="L2942" s="41"/>
      <c r="N2942" s="41"/>
      <c r="R2942" s="41"/>
      <c r="S2942" s="41"/>
      <c r="U2942" s="440"/>
      <c r="V2942" s="440"/>
    </row>
    <row r="2943" spans="1:22" x14ac:dyDescent="0.2">
      <c r="A2943" s="123"/>
      <c r="B2943" s="333"/>
      <c r="C2943" s="345"/>
      <c r="D2943" s="345"/>
      <c r="E2943" s="372"/>
      <c r="F2943" s="372"/>
      <c r="G2943" s="440"/>
      <c r="H2943" s="440"/>
      <c r="I2943" s="440"/>
      <c r="J2943" s="440"/>
      <c r="K2943" s="41"/>
      <c r="L2943" s="41"/>
      <c r="N2943" s="41"/>
      <c r="R2943" s="41"/>
      <c r="S2943" s="41"/>
      <c r="U2943" s="440"/>
      <c r="V2943" s="440"/>
    </row>
    <row r="2944" spans="1:22" x14ac:dyDescent="0.2">
      <c r="A2944" s="123"/>
      <c r="B2944" s="333"/>
      <c r="C2944" s="345"/>
      <c r="D2944" s="345"/>
      <c r="E2944" s="372"/>
      <c r="F2944" s="372"/>
      <c r="G2944" s="440"/>
      <c r="H2944" s="440"/>
      <c r="I2944" s="440"/>
      <c r="J2944" s="440"/>
      <c r="K2944" s="41"/>
      <c r="L2944" s="41"/>
      <c r="N2944" s="41"/>
      <c r="R2944" s="41"/>
      <c r="S2944" s="41"/>
      <c r="U2944" s="440"/>
      <c r="V2944" s="440"/>
    </row>
    <row r="2945" spans="1:22" x14ac:dyDescent="0.2">
      <c r="A2945" s="123"/>
      <c r="B2945" s="333"/>
      <c r="C2945" s="345"/>
      <c r="D2945" s="345"/>
      <c r="E2945" s="372"/>
      <c r="F2945" s="372"/>
      <c r="G2945" s="440"/>
      <c r="H2945" s="440"/>
      <c r="I2945" s="440"/>
      <c r="J2945" s="440"/>
      <c r="K2945" s="41"/>
      <c r="L2945" s="41"/>
      <c r="N2945" s="41"/>
      <c r="R2945" s="41"/>
      <c r="S2945" s="41"/>
      <c r="U2945" s="440"/>
      <c r="V2945" s="440"/>
    </row>
    <row r="2946" spans="1:22" x14ac:dyDescent="0.2">
      <c r="A2946" s="123"/>
      <c r="B2946" s="333"/>
      <c r="C2946" s="345"/>
      <c r="D2946" s="345"/>
      <c r="E2946" s="372"/>
      <c r="F2946" s="372"/>
      <c r="G2946" s="440"/>
      <c r="H2946" s="440"/>
      <c r="I2946" s="440"/>
      <c r="J2946" s="440"/>
      <c r="K2946" s="41"/>
      <c r="L2946" s="41"/>
      <c r="N2946" s="41"/>
      <c r="R2946" s="41"/>
      <c r="S2946" s="41"/>
      <c r="U2946" s="440"/>
      <c r="V2946" s="440"/>
    </row>
    <row r="2947" spans="1:22" x14ac:dyDescent="0.2">
      <c r="A2947" s="123"/>
      <c r="B2947" s="333"/>
      <c r="C2947" s="345"/>
      <c r="D2947" s="345"/>
      <c r="E2947" s="372"/>
      <c r="F2947" s="372"/>
      <c r="G2947" s="440"/>
      <c r="H2947" s="440"/>
      <c r="I2947" s="440"/>
      <c r="J2947" s="440"/>
      <c r="K2947" s="41"/>
      <c r="L2947" s="41"/>
      <c r="N2947" s="41"/>
      <c r="R2947" s="41"/>
      <c r="S2947" s="41"/>
      <c r="U2947" s="440"/>
      <c r="V2947" s="440"/>
    </row>
    <row r="2948" spans="1:22" x14ac:dyDescent="0.2">
      <c r="A2948" s="123"/>
      <c r="B2948" s="333"/>
      <c r="C2948" s="345"/>
      <c r="D2948" s="345"/>
      <c r="E2948" s="372"/>
      <c r="F2948" s="372"/>
      <c r="G2948" s="440"/>
      <c r="H2948" s="440"/>
      <c r="I2948" s="440"/>
      <c r="J2948" s="440"/>
      <c r="K2948" s="41"/>
      <c r="L2948" s="41"/>
      <c r="N2948" s="41"/>
      <c r="R2948" s="41"/>
      <c r="S2948" s="41"/>
      <c r="U2948" s="440"/>
      <c r="V2948" s="440"/>
    </row>
    <row r="2949" spans="1:22" x14ac:dyDescent="0.2">
      <c r="A2949" s="123"/>
      <c r="B2949" s="333"/>
      <c r="C2949" s="345"/>
      <c r="D2949" s="345"/>
      <c r="E2949" s="372"/>
      <c r="F2949" s="372"/>
      <c r="G2949" s="440"/>
      <c r="H2949" s="440"/>
      <c r="I2949" s="440"/>
      <c r="J2949" s="440"/>
      <c r="K2949" s="41"/>
      <c r="L2949" s="41"/>
      <c r="N2949" s="41"/>
      <c r="R2949" s="41"/>
      <c r="S2949" s="41"/>
      <c r="U2949" s="440"/>
      <c r="V2949" s="440"/>
    </row>
    <row r="2950" spans="1:22" x14ac:dyDescent="0.2">
      <c r="A2950" s="123"/>
      <c r="B2950" s="333"/>
      <c r="C2950" s="345"/>
      <c r="D2950" s="345"/>
      <c r="E2950" s="372"/>
      <c r="F2950" s="372"/>
      <c r="G2950" s="440"/>
      <c r="H2950" s="440"/>
      <c r="I2950" s="440"/>
      <c r="J2950" s="440"/>
      <c r="K2950" s="41"/>
      <c r="L2950" s="41"/>
      <c r="N2950" s="41"/>
      <c r="R2950" s="41"/>
      <c r="S2950" s="41"/>
      <c r="U2950" s="440"/>
      <c r="V2950" s="440"/>
    </row>
    <row r="2951" spans="1:22" ht="25.5" x14ac:dyDescent="0.2">
      <c r="A2951" s="123" t="s">
        <v>562</v>
      </c>
      <c r="B2951" s="333"/>
      <c r="C2951" s="345"/>
      <c r="D2951" s="345"/>
      <c r="E2951" s="372"/>
      <c r="F2951" s="372"/>
      <c r="G2951" s="440"/>
      <c r="H2951" s="440"/>
      <c r="I2951" s="440"/>
      <c r="J2951" s="440"/>
      <c r="K2951" s="41"/>
      <c r="L2951" s="41"/>
      <c r="N2951" s="41"/>
      <c r="R2951" s="41"/>
      <c r="S2951" s="41"/>
      <c r="U2951" s="440"/>
      <c r="V2951" s="440"/>
    </row>
    <row r="2952" spans="1:22" x14ac:dyDescent="0.2">
      <c r="A2952" s="123"/>
      <c r="B2952" s="333"/>
      <c r="C2952" s="345"/>
      <c r="D2952" s="345"/>
      <c r="E2952" s="372"/>
      <c r="F2952" s="372"/>
      <c r="G2952" s="440"/>
      <c r="H2952" s="440"/>
      <c r="I2952" s="440"/>
      <c r="J2952" s="440"/>
      <c r="K2952" s="41"/>
      <c r="L2952" s="41"/>
      <c r="N2952" s="41"/>
      <c r="R2952" s="41"/>
      <c r="S2952" s="41"/>
      <c r="U2952" s="440"/>
      <c r="V2952" s="440"/>
    </row>
    <row r="2953" spans="1:22" x14ac:dyDescent="0.2">
      <c r="A2953" s="123" t="s">
        <v>591</v>
      </c>
      <c r="B2953" s="333"/>
      <c r="C2953" s="345"/>
      <c r="D2953" s="345"/>
      <c r="E2953" s="372"/>
      <c r="F2953" s="372"/>
      <c r="G2953" s="440"/>
      <c r="H2953" s="440"/>
      <c r="I2953" s="440"/>
      <c r="J2953" s="440"/>
      <c r="K2953" s="41"/>
      <c r="L2953" s="41"/>
      <c r="N2953" s="41"/>
      <c r="R2953" s="41"/>
      <c r="S2953" s="41"/>
      <c r="U2953" s="440"/>
      <c r="V2953" s="440"/>
    </row>
    <row r="2954" spans="1:22" x14ac:dyDescent="0.2">
      <c r="A2954" s="123" t="s">
        <v>592</v>
      </c>
      <c r="B2954" s="333"/>
      <c r="C2954" s="345"/>
      <c r="D2954" s="345"/>
      <c r="E2954" s="372"/>
      <c r="F2954" s="372"/>
      <c r="G2954" s="440"/>
      <c r="H2954" s="440"/>
      <c r="I2954" s="440"/>
      <c r="J2954" s="440"/>
      <c r="K2954" s="41"/>
      <c r="L2954" s="41"/>
      <c r="N2954" s="41"/>
      <c r="R2954" s="41"/>
      <c r="S2954" s="41"/>
      <c r="U2954" s="440"/>
      <c r="V2954" s="440"/>
    </row>
    <row r="2955" spans="1:22" x14ac:dyDescent="0.2">
      <c r="A2955" s="123" t="s">
        <v>593</v>
      </c>
      <c r="B2955" s="333"/>
      <c r="C2955" s="345"/>
      <c r="D2955" s="345"/>
      <c r="E2955" s="372"/>
      <c r="F2955" s="372"/>
      <c r="G2955" s="440"/>
      <c r="H2955" s="440"/>
      <c r="I2955" s="440"/>
      <c r="J2955" s="440"/>
      <c r="K2955" s="41"/>
      <c r="L2955" s="41"/>
      <c r="N2955" s="41"/>
      <c r="R2955" s="41"/>
      <c r="S2955" s="41"/>
      <c r="U2955" s="440"/>
      <c r="V2955" s="440"/>
    </row>
    <row r="2956" spans="1:22" x14ac:dyDescent="0.2">
      <c r="A2956" s="123" t="s">
        <v>594</v>
      </c>
      <c r="B2956" s="333"/>
      <c r="C2956" s="345"/>
      <c r="D2956" s="345"/>
      <c r="E2956" s="372"/>
      <c r="F2956" s="372"/>
      <c r="G2956" s="440"/>
      <c r="H2956" s="440"/>
      <c r="I2956" s="440"/>
      <c r="J2956" s="440"/>
      <c r="K2956" s="41"/>
      <c r="L2956" s="41"/>
      <c r="N2956" s="41"/>
      <c r="R2956" s="41"/>
      <c r="S2956" s="41"/>
      <c r="U2956" s="440"/>
      <c r="V2956" s="440"/>
    </row>
    <row r="2957" spans="1:22" x14ac:dyDescent="0.2">
      <c r="A2957" s="123"/>
      <c r="B2957" s="333"/>
      <c r="C2957" s="345"/>
      <c r="D2957" s="345"/>
      <c r="E2957" s="372"/>
      <c r="F2957" s="372"/>
      <c r="G2957" s="440"/>
      <c r="H2957" s="440"/>
      <c r="I2957" s="440"/>
      <c r="J2957" s="440"/>
      <c r="K2957" s="41"/>
      <c r="L2957" s="41"/>
      <c r="N2957" s="41"/>
      <c r="R2957" s="41"/>
      <c r="S2957" s="41"/>
      <c r="U2957" s="440"/>
      <c r="V2957" s="440"/>
    </row>
    <row r="2958" spans="1:22" x14ac:dyDescent="0.2">
      <c r="A2958" s="123"/>
      <c r="B2958" s="333"/>
      <c r="C2958" s="345"/>
      <c r="D2958" s="345"/>
      <c r="E2958" s="372"/>
      <c r="F2958" s="372"/>
      <c r="G2958" s="440"/>
      <c r="H2958" s="440"/>
      <c r="I2958" s="440"/>
      <c r="J2958" s="440"/>
      <c r="K2958" s="41"/>
      <c r="L2958" s="41"/>
      <c r="N2958" s="41"/>
      <c r="R2958" s="41"/>
      <c r="S2958" s="41"/>
      <c r="U2958" s="440"/>
      <c r="V2958" s="440"/>
    </row>
    <row r="2959" spans="1:22" x14ac:dyDescent="0.2">
      <c r="A2959" s="123"/>
      <c r="B2959" s="333"/>
      <c r="C2959" s="345"/>
      <c r="D2959" s="345"/>
      <c r="E2959" s="372"/>
      <c r="F2959" s="372"/>
      <c r="G2959" s="440"/>
      <c r="H2959" s="440"/>
      <c r="I2959" s="440"/>
      <c r="J2959" s="440"/>
      <c r="K2959" s="41"/>
      <c r="L2959" s="41"/>
      <c r="N2959" s="41"/>
      <c r="R2959" s="41"/>
      <c r="S2959" s="41"/>
      <c r="U2959" s="440"/>
      <c r="V2959" s="440"/>
    </row>
    <row r="2960" spans="1:22" x14ac:dyDescent="0.2">
      <c r="A2960" s="123"/>
      <c r="B2960" s="333"/>
      <c r="C2960" s="345"/>
      <c r="D2960" s="345"/>
      <c r="E2960" s="372"/>
      <c r="F2960" s="372"/>
      <c r="G2960" s="440"/>
      <c r="H2960" s="440"/>
      <c r="I2960" s="440"/>
      <c r="J2960" s="440"/>
      <c r="K2960" s="41"/>
      <c r="L2960" s="41"/>
      <c r="N2960" s="41"/>
      <c r="R2960" s="41"/>
      <c r="S2960" s="41"/>
      <c r="U2960" s="440"/>
      <c r="V2960" s="440"/>
    </row>
    <row r="2961" spans="1:22" x14ac:dyDescent="0.2">
      <c r="A2961" s="123"/>
      <c r="B2961" s="333"/>
      <c r="C2961" s="345"/>
      <c r="D2961" s="345"/>
      <c r="E2961" s="372"/>
      <c r="F2961" s="372"/>
      <c r="G2961" s="440"/>
      <c r="H2961" s="440"/>
      <c r="I2961" s="440"/>
      <c r="J2961" s="440"/>
      <c r="K2961" s="41"/>
      <c r="L2961" s="41"/>
      <c r="N2961" s="41"/>
      <c r="R2961" s="41"/>
      <c r="S2961" s="41"/>
      <c r="U2961" s="440"/>
      <c r="V2961" s="440"/>
    </row>
    <row r="2962" spans="1:22" x14ac:dyDescent="0.2">
      <c r="A2962" s="123"/>
      <c r="B2962" s="333"/>
      <c r="C2962" s="345"/>
      <c r="D2962" s="345"/>
      <c r="E2962" s="372"/>
      <c r="F2962" s="372"/>
      <c r="G2962" s="440"/>
      <c r="H2962" s="440"/>
      <c r="I2962" s="440"/>
      <c r="J2962" s="440"/>
      <c r="K2962" s="41"/>
      <c r="L2962" s="41"/>
      <c r="N2962" s="41"/>
      <c r="R2962" s="41"/>
      <c r="S2962" s="41"/>
      <c r="U2962" s="440"/>
      <c r="V2962" s="440"/>
    </row>
    <row r="2963" spans="1:22" x14ac:dyDescent="0.2">
      <c r="A2963" s="123"/>
      <c r="B2963" s="333"/>
      <c r="C2963" s="345"/>
      <c r="D2963" s="345"/>
      <c r="E2963" s="372"/>
      <c r="F2963" s="372"/>
      <c r="G2963" s="440"/>
      <c r="H2963" s="440"/>
      <c r="I2963" s="440"/>
      <c r="J2963" s="440"/>
      <c r="K2963" s="41"/>
      <c r="L2963" s="41"/>
      <c r="N2963" s="41"/>
      <c r="R2963" s="41"/>
      <c r="S2963" s="41"/>
      <c r="U2963" s="440"/>
      <c r="V2963" s="440"/>
    </row>
    <row r="2964" spans="1:22" x14ac:dyDescent="0.2">
      <c r="A2964" s="123"/>
      <c r="B2964" s="333"/>
      <c r="C2964" s="345"/>
      <c r="D2964" s="345"/>
      <c r="E2964" s="372"/>
      <c r="F2964" s="372"/>
      <c r="G2964" s="440"/>
      <c r="H2964" s="440"/>
      <c r="I2964" s="440"/>
      <c r="J2964" s="440"/>
      <c r="K2964" s="41"/>
      <c r="L2964" s="41"/>
      <c r="N2964" s="41"/>
      <c r="R2964" s="41"/>
      <c r="S2964" s="41"/>
      <c r="U2964" s="440"/>
      <c r="V2964" s="440"/>
    </row>
    <row r="2965" spans="1:22" x14ac:dyDescent="0.2">
      <c r="A2965" s="123"/>
      <c r="B2965" s="333"/>
      <c r="C2965" s="345"/>
      <c r="D2965" s="345"/>
      <c r="E2965" s="372"/>
      <c r="F2965" s="372"/>
      <c r="G2965" s="440"/>
      <c r="H2965" s="440"/>
      <c r="I2965" s="440"/>
      <c r="J2965" s="440"/>
      <c r="K2965" s="41"/>
      <c r="L2965" s="41"/>
      <c r="N2965" s="41"/>
      <c r="R2965" s="41"/>
      <c r="S2965" s="41"/>
      <c r="U2965" s="440"/>
      <c r="V2965" s="440"/>
    </row>
    <row r="2966" spans="1:22" x14ac:dyDescent="0.2">
      <c r="A2966" s="123"/>
      <c r="B2966" s="333"/>
      <c r="C2966" s="345"/>
      <c r="D2966" s="345"/>
      <c r="E2966" s="372"/>
      <c r="F2966" s="372"/>
      <c r="G2966" s="440"/>
      <c r="H2966" s="440"/>
      <c r="I2966" s="440"/>
      <c r="J2966" s="440"/>
      <c r="K2966" s="41"/>
      <c r="L2966" s="41"/>
      <c r="N2966" s="41"/>
      <c r="R2966" s="41"/>
      <c r="S2966" s="41"/>
      <c r="U2966" s="440"/>
      <c r="V2966" s="440"/>
    </row>
    <row r="2967" spans="1:22" x14ac:dyDescent="0.2">
      <c r="A2967" s="123"/>
      <c r="B2967" s="333"/>
      <c r="C2967" s="345"/>
      <c r="D2967" s="345"/>
      <c r="E2967" s="372"/>
      <c r="F2967" s="372"/>
      <c r="G2967" s="440"/>
      <c r="H2967" s="440"/>
      <c r="I2967" s="440"/>
      <c r="J2967" s="440"/>
      <c r="K2967" s="41"/>
      <c r="L2967" s="41"/>
      <c r="N2967" s="41"/>
      <c r="R2967" s="41"/>
      <c r="S2967" s="41"/>
      <c r="U2967" s="440"/>
      <c r="V2967" s="440"/>
    </row>
    <row r="2968" spans="1:22" x14ac:dyDescent="0.2">
      <c r="A2968" s="123"/>
      <c r="B2968" s="333"/>
      <c r="C2968" s="345"/>
      <c r="D2968" s="345"/>
      <c r="E2968" s="372"/>
      <c r="F2968" s="372"/>
      <c r="G2968" s="440"/>
      <c r="H2968" s="440"/>
      <c r="I2968" s="440"/>
      <c r="J2968" s="440"/>
      <c r="K2968" s="41"/>
      <c r="L2968" s="41"/>
      <c r="N2968" s="41"/>
      <c r="R2968" s="41"/>
      <c r="S2968" s="41"/>
      <c r="U2968" s="440"/>
      <c r="V2968" s="440"/>
    </row>
    <row r="2969" spans="1:22" x14ac:dyDescent="0.2">
      <c r="A2969" s="123"/>
      <c r="B2969" s="333"/>
      <c r="C2969" s="345"/>
      <c r="D2969" s="345"/>
      <c r="E2969" s="372"/>
      <c r="F2969" s="372"/>
      <c r="G2969" s="440"/>
      <c r="H2969" s="440"/>
      <c r="I2969" s="440"/>
      <c r="J2969" s="440"/>
      <c r="K2969" s="41"/>
      <c r="L2969" s="41"/>
      <c r="N2969" s="41"/>
      <c r="R2969" s="41"/>
      <c r="S2969" s="41"/>
      <c r="U2969" s="440"/>
      <c r="V2969" s="440"/>
    </row>
    <row r="2970" spans="1:22" x14ac:dyDescent="0.2">
      <c r="A2970" s="123"/>
      <c r="B2970" s="333"/>
      <c r="C2970" s="345"/>
      <c r="D2970" s="345"/>
      <c r="E2970" s="372"/>
      <c r="F2970" s="372"/>
      <c r="G2970" s="440"/>
      <c r="H2970" s="440"/>
      <c r="I2970" s="440"/>
      <c r="J2970" s="440"/>
      <c r="K2970" s="41"/>
      <c r="L2970" s="41"/>
      <c r="N2970" s="41"/>
      <c r="R2970" s="41"/>
      <c r="S2970" s="41"/>
      <c r="U2970" s="440"/>
      <c r="V2970" s="440"/>
    </row>
    <row r="2971" spans="1:22" x14ac:dyDescent="0.2">
      <c r="A2971" s="123"/>
      <c r="B2971" s="333"/>
      <c r="C2971" s="345"/>
      <c r="D2971" s="345"/>
      <c r="E2971" s="372"/>
      <c r="F2971" s="372"/>
      <c r="G2971" s="440"/>
      <c r="H2971" s="440"/>
      <c r="I2971" s="440"/>
      <c r="J2971" s="440"/>
      <c r="K2971" s="41"/>
      <c r="L2971" s="41"/>
      <c r="N2971" s="41"/>
      <c r="R2971" s="41"/>
      <c r="S2971" s="41"/>
      <c r="U2971" s="440"/>
      <c r="V2971" s="440"/>
    </row>
    <row r="2972" spans="1:22" x14ac:dyDescent="0.2">
      <c r="A2972" s="123"/>
      <c r="B2972" s="333"/>
      <c r="C2972" s="345"/>
      <c r="D2972" s="345"/>
      <c r="E2972" s="372"/>
      <c r="F2972" s="372"/>
      <c r="G2972" s="440"/>
      <c r="H2972" s="440"/>
      <c r="I2972" s="440"/>
      <c r="J2972" s="440"/>
      <c r="K2972" s="41"/>
      <c r="L2972" s="41"/>
      <c r="N2972" s="41"/>
      <c r="R2972" s="41"/>
      <c r="S2972" s="41"/>
      <c r="U2972" s="440"/>
      <c r="V2972" s="440"/>
    </row>
    <row r="2973" spans="1:22" x14ac:dyDescent="0.2">
      <c r="A2973" s="123"/>
      <c r="B2973" s="333"/>
      <c r="C2973" s="345"/>
      <c r="D2973" s="345"/>
      <c r="E2973" s="372"/>
      <c r="F2973" s="372"/>
      <c r="G2973" s="440"/>
      <c r="H2973" s="440"/>
      <c r="I2973" s="440"/>
      <c r="J2973" s="440"/>
      <c r="K2973" s="41"/>
      <c r="L2973" s="41"/>
      <c r="N2973" s="41"/>
      <c r="R2973" s="41"/>
      <c r="S2973" s="41"/>
      <c r="U2973" s="440"/>
      <c r="V2973" s="440"/>
    </row>
    <row r="2974" spans="1:22" x14ac:dyDescent="0.2">
      <c r="A2974" s="123"/>
      <c r="B2974" s="333"/>
      <c r="C2974" s="345"/>
      <c r="D2974" s="345"/>
      <c r="E2974" s="372"/>
      <c r="F2974" s="372"/>
      <c r="G2974" s="440"/>
      <c r="H2974" s="440"/>
      <c r="I2974" s="440"/>
      <c r="J2974" s="440"/>
      <c r="K2974" s="41"/>
      <c r="L2974" s="41"/>
      <c r="N2974" s="41"/>
      <c r="R2974" s="41"/>
      <c r="S2974" s="41"/>
      <c r="U2974" s="440"/>
      <c r="V2974" s="440"/>
    </row>
    <row r="2975" spans="1:22" x14ac:dyDescent="0.2">
      <c r="A2975" s="123"/>
      <c r="B2975" s="333"/>
      <c r="C2975" s="345"/>
      <c r="D2975" s="345"/>
      <c r="E2975" s="372"/>
      <c r="F2975" s="372"/>
      <c r="G2975" s="440"/>
      <c r="H2975" s="440"/>
      <c r="I2975" s="440"/>
      <c r="J2975" s="440"/>
      <c r="K2975" s="41"/>
      <c r="L2975" s="41"/>
      <c r="N2975" s="41"/>
      <c r="R2975" s="41"/>
      <c r="S2975" s="41"/>
      <c r="U2975" s="440"/>
      <c r="V2975" s="440"/>
    </row>
    <row r="2976" spans="1:22" x14ac:dyDescent="0.2">
      <c r="A2976" s="123"/>
      <c r="B2976" s="333"/>
      <c r="C2976" s="345"/>
      <c r="D2976" s="345"/>
      <c r="E2976" s="372"/>
      <c r="F2976" s="372"/>
      <c r="G2976" s="440"/>
      <c r="H2976" s="440"/>
      <c r="I2976" s="440"/>
      <c r="J2976" s="440"/>
      <c r="K2976" s="41"/>
      <c r="L2976" s="41"/>
      <c r="N2976" s="41"/>
      <c r="R2976" s="41"/>
      <c r="S2976" s="41"/>
      <c r="U2976" s="440"/>
      <c r="V2976" s="440"/>
    </row>
    <row r="2977" spans="1:22" x14ac:dyDescent="0.2">
      <c r="A2977" s="123"/>
      <c r="B2977" s="333"/>
      <c r="C2977" s="345"/>
      <c r="D2977" s="345"/>
      <c r="E2977" s="372"/>
      <c r="F2977" s="372"/>
      <c r="G2977" s="440"/>
      <c r="H2977" s="440"/>
      <c r="I2977" s="440"/>
      <c r="J2977" s="440"/>
      <c r="K2977" s="41"/>
      <c r="L2977" s="41"/>
      <c r="N2977" s="41"/>
      <c r="R2977" s="41"/>
      <c r="S2977" s="41"/>
      <c r="U2977" s="440"/>
      <c r="V2977" s="440"/>
    </row>
    <row r="2978" spans="1:22" x14ac:dyDescent="0.2">
      <c r="A2978" s="123"/>
      <c r="B2978" s="333"/>
      <c r="C2978" s="345"/>
      <c r="D2978" s="345"/>
      <c r="E2978" s="372"/>
      <c r="F2978" s="372"/>
      <c r="G2978" s="440"/>
      <c r="H2978" s="440"/>
      <c r="I2978" s="440"/>
      <c r="J2978" s="440"/>
      <c r="K2978" s="41"/>
      <c r="L2978" s="41"/>
      <c r="N2978" s="41"/>
      <c r="R2978" s="41"/>
      <c r="S2978" s="41"/>
      <c r="U2978" s="440"/>
      <c r="V2978" s="440"/>
    </row>
    <row r="2979" spans="1:22" x14ac:dyDescent="0.2">
      <c r="A2979" s="123"/>
      <c r="B2979" s="333"/>
      <c r="C2979" s="345"/>
      <c r="D2979" s="345"/>
      <c r="E2979" s="372"/>
      <c r="F2979" s="372"/>
      <c r="G2979" s="440"/>
      <c r="H2979" s="440"/>
      <c r="I2979" s="440"/>
      <c r="J2979" s="440"/>
      <c r="K2979" s="41"/>
      <c r="L2979" s="41"/>
      <c r="N2979" s="41"/>
      <c r="R2979" s="41"/>
      <c r="S2979" s="41"/>
      <c r="U2979" s="440"/>
      <c r="V2979" s="440"/>
    </row>
    <row r="2980" spans="1:22" x14ac:dyDescent="0.2">
      <c r="A2980" s="123"/>
      <c r="B2980" s="333"/>
      <c r="C2980" s="345"/>
      <c r="D2980" s="345"/>
      <c r="E2980" s="372"/>
      <c r="F2980" s="372"/>
      <c r="G2980" s="440"/>
      <c r="H2980" s="440"/>
      <c r="I2980" s="440"/>
      <c r="J2980" s="440"/>
      <c r="K2980" s="41"/>
      <c r="L2980" s="41"/>
      <c r="N2980" s="41"/>
      <c r="R2980" s="41"/>
      <c r="S2980" s="41"/>
      <c r="U2980" s="440"/>
      <c r="V2980" s="440"/>
    </row>
    <row r="2981" spans="1:22" x14ac:dyDescent="0.2">
      <c r="A2981" s="123"/>
      <c r="B2981" s="333"/>
      <c r="C2981" s="345"/>
      <c r="D2981" s="345"/>
      <c r="E2981" s="372"/>
      <c r="F2981" s="372"/>
      <c r="G2981" s="440"/>
      <c r="H2981" s="440"/>
      <c r="I2981" s="440"/>
      <c r="J2981" s="440"/>
      <c r="K2981" s="41"/>
      <c r="L2981" s="41"/>
      <c r="N2981" s="41"/>
      <c r="R2981" s="41"/>
      <c r="S2981" s="41"/>
      <c r="U2981" s="440"/>
      <c r="V2981" s="440"/>
    </row>
    <row r="2982" spans="1:22" x14ac:dyDescent="0.2">
      <c r="A2982" s="123"/>
      <c r="B2982" s="333"/>
      <c r="C2982" s="345"/>
      <c r="D2982" s="345"/>
      <c r="E2982" s="372"/>
      <c r="F2982" s="372"/>
      <c r="G2982" s="440"/>
      <c r="H2982" s="440"/>
      <c r="I2982" s="440"/>
      <c r="J2982" s="440"/>
      <c r="K2982" s="41"/>
      <c r="L2982" s="41"/>
      <c r="N2982" s="41"/>
      <c r="R2982" s="41"/>
      <c r="S2982" s="41"/>
      <c r="U2982" s="440"/>
      <c r="V2982" s="440"/>
    </row>
    <row r="2983" spans="1:22" x14ac:dyDescent="0.2">
      <c r="A2983" s="123"/>
      <c r="B2983" s="333"/>
      <c r="C2983" s="345"/>
      <c r="D2983" s="345"/>
      <c r="E2983" s="372"/>
      <c r="F2983" s="372"/>
      <c r="G2983" s="440"/>
      <c r="H2983" s="440"/>
      <c r="I2983" s="440"/>
      <c r="J2983" s="440"/>
      <c r="K2983" s="41"/>
      <c r="L2983" s="41"/>
      <c r="N2983" s="41"/>
      <c r="R2983" s="41"/>
      <c r="S2983" s="41"/>
      <c r="U2983" s="440"/>
      <c r="V2983" s="440"/>
    </row>
    <row r="2984" spans="1:22" x14ac:dyDescent="0.2">
      <c r="A2984" s="123"/>
      <c r="B2984" s="333"/>
      <c r="C2984" s="345"/>
      <c r="D2984" s="345"/>
      <c r="E2984" s="372"/>
      <c r="F2984" s="372"/>
      <c r="G2984" s="440"/>
      <c r="H2984" s="440"/>
      <c r="I2984" s="440"/>
      <c r="J2984" s="440"/>
      <c r="K2984" s="41"/>
      <c r="L2984" s="41"/>
      <c r="N2984" s="41"/>
      <c r="R2984" s="41"/>
      <c r="S2984" s="41"/>
      <c r="U2984" s="440"/>
      <c r="V2984" s="440"/>
    </row>
    <row r="2985" spans="1:22" x14ac:dyDescent="0.2">
      <c r="A2985" s="123"/>
      <c r="B2985" s="333"/>
      <c r="C2985" s="345"/>
      <c r="D2985" s="345"/>
      <c r="E2985" s="372"/>
      <c r="F2985" s="372"/>
      <c r="G2985" s="440"/>
      <c r="H2985" s="440"/>
      <c r="I2985" s="440"/>
      <c r="J2985" s="440"/>
      <c r="K2985" s="41"/>
      <c r="L2985" s="41"/>
      <c r="N2985" s="41"/>
      <c r="R2985" s="41"/>
      <c r="S2985" s="41"/>
      <c r="U2985" s="440"/>
      <c r="V2985" s="440"/>
    </row>
    <row r="2986" spans="1:22" x14ac:dyDescent="0.2">
      <c r="A2986" s="123"/>
      <c r="B2986" s="333"/>
      <c r="C2986" s="345"/>
      <c r="D2986" s="345"/>
      <c r="E2986" s="372"/>
      <c r="F2986" s="372"/>
      <c r="G2986" s="440"/>
      <c r="H2986" s="440"/>
      <c r="I2986" s="440"/>
      <c r="J2986" s="440"/>
      <c r="K2986" s="41"/>
      <c r="L2986" s="41"/>
      <c r="N2986" s="41"/>
      <c r="R2986" s="41"/>
      <c r="S2986" s="41"/>
      <c r="U2986" s="440"/>
      <c r="V2986" s="440"/>
    </row>
    <row r="2987" spans="1:22" x14ac:dyDescent="0.2">
      <c r="A2987" s="123"/>
      <c r="B2987" s="333"/>
      <c r="C2987" s="345"/>
      <c r="D2987" s="345"/>
      <c r="E2987" s="372"/>
      <c r="F2987" s="372"/>
      <c r="G2987" s="440"/>
      <c r="H2987" s="440"/>
      <c r="I2987" s="440"/>
      <c r="J2987" s="440"/>
      <c r="K2987" s="41"/>
      <c r="L2987" s="41"/>
      <c r="N2987" s="41"/>
      <c r="R2987" s="41"/>
      <c r="S2987" s="41"/>
      <c r="U2987" s="440"/>
      <c r="V2987" s="440"/>
    </row>
    <row r="2988" spans="1:22" x14ac:dyDescent="0.2">
      <c r="A2988" s="123"/>
      <c r="B2988" s="333"/>
      <c r="C2988" s="345"/>
      <c r="D2988" s="345"/>
      <c r="E2988" s="372"/>
      <c r="F2988" s="372"/>
      <c r="G2988" s="440"/>
      <c r="H2988" s="440"/>
      <c r="I2988" s="440"/>
      <c r="J2988" s="440"/>
      <c r="K2988" s="41"/>
      <c r="L2988" s="41"/>
      <c r="N2988" s="41"/>
      <c r="R2988" s="41"/>
      <c r="S2988" s="41"/>
      <c r="U2988" s="440"/>
      <c r="V2988" s="440"/>
    </row>
    <row r="2989" spans="1:22" x14ac:dyDescent="0.2">
      <c r="A2989" s="123"/>
      <c r="B2989" s="333"/>
      <c r="C2989" s="345"/>
      <c r="D2989" s="345"/>
      <c r="E2989" s="372"/>
      <c r="F2989" s="372"/>
      <c r="G2989" s="440"/>
      <c r="H2989" s="440"/>
      <c r="I2989" s="440"/>
      <c r="J2989" s="440"/>
      <c r="K2989" s="41"/>
      <c r="L2989" s="41"/>
      <c r="N2989" s="41"/>
      <c r="R2989" s="41"/>
      <c r="S2989" s="41"/>
      <c r="U2989" s="440"/>
      <c r="V2989" s="440"/>
    </row>
    <row r="2990" spans="1:22" x14ac:dyDescent="0.2">
      <c r="A2990" s="123"/>
      <c r="B2990" s="333"/>
      <c r="C2990" s="345"/>
      <c r="D2990" s="345"/>
      <c r="E2990" s="372"/>
      <c r="F2990" s="372"/>
      <c r="G2990" s="440"/>
      <c r="H2990" s="440"/>
      <c r="I2990" s="440"/>
      <c r="J2990" s="440"/>
      <c r="K2990" s="41"/>
      <c r="L2990" s="41"/>
      <c r="N2990" s="41"/>
      <c r="R2990" s="41"/>
      <c r="S2990" s="41"/>
      <c r="U2990" s="440"/>
      <c r="V2990" s="440"/>
    </row>
    <row r="2991" spans="1:22" x14ac:dyDescent="0.2">
      <c r="A2991" s="123"/>
      <c r="B2991" s="333"/>
      <c r="C2991" s="345"/>
      <c r="D2991" s="345"/>
      <c r="E2991" s="372"/>
      <c r="F2991" s="372"/>
      <c r="G2991" s="440"/>
      <c r="H2991" s="440"/>
      <c r="I2991" s="440"/>
      <c r="J2991" s="440"/>
      <c r="K2991" s="41"/>
      <c r="L2991" s="41"/>
      <c r="N2991" s="41"/>
      <c r="R2991" s="41"/>
      <c r="S2991" s="41"/>
      <c r="U2991" s="440"/>
      <c r="V2991" s="440"/>
    </row>
    <row r="2992" spans="1:22" x14ac:dyDescent="0.2">
      <c r="A2992" s="123"/>
      <c r="B2992" s="333"/>
      <c r="C2992" s="345"/>
      <c r="D2992" s="345"/>
      <c r="E2992" s="372"/>
      <c r="F2992" s="372"/>
      <c r="G2992" s="440"/>
      <c r="H2992" s="440"/>
      <c r="I2992" s="440"/>
      <c r="J2992" s="440"/>
      <c r="K2992" s="41"/>
      <c r="L2992" s="41"/>
      <c r="N2992" s="41"/>
      <c r="R2992" s="41"/>
      <c r="S2992" s="41"/>
      <c r="U2992" s="440"/>
      <c r="V2992" s="440"/>
    </row>
    <row r="2993" spans="1:22" x14ac:dyDescent="0.2">
      <c r="A2993" s="123"/>
      <c r="B2993" s="333"/>
      <c r="C2993" s="345"/>
      <c r="D2993" s="345"/>
      <c r="E2993" s="372"/>
      <c r="F2993" s="372"/>
      <c r="G2993" s="440"/>
      <c r="H2993" s="440"/>
      <c r="I2993" s="440"/>
      <c r="J2993" s="440"/>
      <c r="K2993" s="41"/>
      <c r="L2993" s="41"/>
      <c r="N2993" s="41"/>
      <c r="R2993" s="41"/>
      <c r="S2993" s="41"/>
      <c r="U2993" s="440"/>
      <c r="V2993" s="440"/>
    </row>
    <row r="2994" spans="1:22" x14ac:dyDescent="0.2">
      <c r="A2994" s="123"/>
      <c r="B2994" s="333"/>
      <c r="C2994" s="345"/>
      <c r="D2994" s="345"/>
      <c r="E2994" s="372"/>
      <c r="F2994" s="372"/>
      <c r="G2994" s="440"/>
      <c r="H2994" s="440"/>
      <c r="I2994" s="440"/>
      <c r="J2994" s="440"/>
      <c r="K2994" s="41"/>
      <c r="L2994" s="41"/>
      <c r="N2994" s="41"/>
      <c r="R2994" s="41"/>
      <c r="S2994" s="41"/>
      <c r="U2994" s="440"/>
      <c r="V2994" s="440"/>
    </row>
    <row r="2995" spans="1:22" x14ac:dyDescent="0.2">
      <c r="A2995" s="123"/>
      <c r="B2995" s="333"/>
      <c r="C2995" s="345"/>
      <c r="D2995" s="345"/>
      <c r="E2995" s="372"/>
      <c r="F2995" s="372"/>
      <c r="G2995" s="440"/>
      <c r="H2995" s="440"/>
      <c r="I2995" s="440"/>
      <c r="J2995" s="440"/>
      <c r="K2995" s="41"/>
      <c r="L2995" s="41"/>
      <c r="N2995" s="41"/>
      <c r="R2995" s="41"/>
      <c r="S2995" s="41"/>
      <c r="U2995" s="440"/>
      <c r="V2995" s="440"/>
    </row>
    <row r="2996" spans="1:22" x14ac:dyDescent="0.2">
      <c r="A2996" s="123"/>
      <c r="B2996" s="333"/>
      <c r="C2996" s="345"/>
      <c r="D2996" s="345"/>
      <c r="E2996" s="372"/>
      <c r="F2996" s="372"/>
      <c r="G2996" s="440"/>
      <c r="H2996" s="440"/>
      <c r="I2996" s="440"/>
      <c r="J2996" s="440"/>
      <c r="K2996" s="41"/>
      <c r="L2996" s="41"/>
      <c r="N2996" s="41"/>
      <c r="R2996" s="41"/>
      <c r="S2996" s="41"/>
      <c r="U2996" s="440"/>
      <c r="V2996" s="440"/>
    </row>
    <row r="2997" spans="1:22" x14ac:dyDescent="0.2">
      <c r="A2997" s="123"/>
      <c r="B2997" s="333"/>
      <c r="C2997" s="345"/>
      <c r="D2997" s="345"/>
      <c r="E2997" s="372"/>
      <c r="F2997" s="372"/>
      <c r="G2997" s="440"/>
      <c r="H2997" s="440"/>
      <c r="I2997" s="440"/>
      <c r="J2997" s="440"/>
      <c r="K2997" s="41"/>
      <c r="L2997" s="41"/>
      <c r="N2997" s="41"/>
      <c r="R2997" s="41"/>
      <c r="S2997" s="41"/>
      <c r="U2997" s="440"/>
      <c r="V2997" s="440"/>
    </row>
    <row r="2998" spans="1:22" x14ac:dyDescent="0.2">
      <c r="A2998" s="123"/>
      <c r="B2998" s="333"/>
      <c r="C2998" s="345"/>
      <c r="D2998" s="345"/>
      <c r="E2998" s="372"/>
      <c r="F2998" s="372"/>
      <c r="G2998" s="440"/>
      <c r="H2998" s="440"/>
      <c r="I2998" s="440"/>
      <c r="J2998" s="440"/>
      <c r="K2998" s="41"/>
      <c r="L2998" s="41"/>
      <c r="N2998" s="41"/>
      <c r="R2998" s="41"/>
      <c r="S2998" s="41"/>
      <c r="U2998" s="440"/>
      <c r="V2998" s="440"/>
    </row>
    <row r="2999" spans="1:22" x14ac:dyDescent="0.2">
      <c r="A2999" s="123"/>
      <c r="B2999" s="333"/>
      <c r="C2999" s="345"/>
      <c r="D2999" s="345"/>
      <c r="E2999" s="372"/>
      <c r="F2999" s="372"/>
      <c r="G2999" s="440"/>
      <c r="H2999" s="440"/>
      <c r="I2999" s="440"/>
      <c r="J2999" s="440"/>
      <c r="K2999" s="41"/>
      <c r="L2999" s="41"/>
      <c r="N2999" s="41"/>
      <c r="R2999" s="41"/>
      <c r="S2999" s="41"/>
      <c r="U2999" s="440"/>
      <c r="V2999" s="440"/>
    </row>
    <row r="3000" spans="1:22" x14ac:dyDescent="0.2">
      <c r="A3000" s="123"/>
      <c r="B3000" s="333"/>
      <c r="C3000" s="345"/>
      <c r="D3000" s="345"/>
      <c r="E3000" s="372"/>
      <c r="F3000" s="372"/>
      <c r="G3000" s="440"/>
      <c r="H3000" s="440"/>
      <c r="I3000" s="440"/>
      <c r="J3000" s="440"/>
      <c r="K3000" s="41"/>
      <c r="L3000" s="41"/>
      <c r="N3000" s="41"/>
      <c r="R3000" s="41"/>
      <c r="S3000" s="41"/>
      <c r="U3000" s="440"/>
      <c r="V3000" s="440"/>
    </row>
    <row r="3001" spans="1:22" x14ac:dyDescent="0.2">
      <c r="A3001" s="123"/>
      <c r="B3001" s="333"/>
      <c r="C3001" s="345"/>
      <c r="D3001" s="345"/>
      <c r="E3001" s="372"/>
      <c r="F3001" s="372"/>
      <c r="G3001" s="440"/>
      <c r="H3001" s="440"/>
      <c r="I3001" s="440"/>
      <c r="J3001" s="440"/>
      <c r="K3001" s="41"/>
      <c r="L3001" s="41"/>
      <c r="N3001" s="41"/>
      <c r="R3001" s="41"/>
      <c r="S3001" s="41"/>
      <c r="U3001" s="440"/>
      <c r="V3001" s="440"/>
    </row>
    <row r="3002" spans="1:22" x14ac:dyDescent="0.2">
      <c r="A3002" s="123"/>
      <c r="B3002" s="333"/>
      <c r="C3002" s="345"/>
      <c r="D3002" s="345"/>
      <c r="E3002" s="372"/>
      <c r="F3002" s="372"/>
      <c r="G3002" s="440"/>
      <c r="H3002" s="440"/>
      <c r="I3002" s="440"/>
      <c r="J3002" s="440"/>
      <c r="K3002" s="41"/>
      <c r="L3002" s="41"/>
      <c r="N3002" s="41"/>
      <c r="R3002" s="41"/>
      <c r="S3002" s="41"/>
      <c r="U3002" s="440"/>
      <c r="V3002" s="440"/>
    </row>
    <row r="3003" spans="1:22" x14ac:dyDescent="0.2">
      <c r="A3003" s="123"/>
      <c r="B3003" s="333"/>
      <c r="C3003" s="345"/>
      <c r="D3003" s="345"/>
      <c r="E3003" s="372"/>
      <c r="F3003" s="372"/>
      <c r="G3003" s="440"/>
      <c r="H3003" s="440"/>
      <c r="I3003" s="440"/>
      <c r="J3003" s="440"/>
      <c r="K3003" s="41"/>
      <c r="L3003" s="41"/>
      <c r="N3003" s="41"/>
      <c r="R3003" s="41"/>
      <c r="S3003" s="41"/>
      <c r="U3003" s="440"/>
      <c r="V3003" s="440"/>
    </row>
    <row r="3004" spans="1:22" x14ac:dyDescent="0.2">
      <c r="A3004" s="123"/>
      <c r="B3004" s="333"/>
      <c r="C3004" s="345"/>
      <c r="D3004" s="345"/>
      <c r="E3004" s="372"/>
      <c r="F3004" s="372"/>
      <c r="G3004" s="440"/>
      <c r="H3004" s="440"/>
      <c r="I3004" s="440"/>
      <c r="J3004" s="440"/>
      <c r="K3004" s="41"/>
      <c r="L3004" s="41"/>
      <c r="N3004" s="41"/>
      <c r="R3004" s="41"/>
      <c r="S3004" s="41"/>
      <c r="U3004" s="440"/>
      <c r="V3004" s="440"/>
    </row>
    <row r="3005" spans="1:22" x14ac:dyDescent="0.2">
      <c r="A3005" s="123"/>
      <c r="B3005" s="333"/>
      <c r="C3005" s="345"/>
      <c r="D3005" s="345"/>
      <c r="E3005" s="372"/>
      <c r="F3005" s="372"/>
      <c r="G3005" s="440"/>
      <c r="H3005" s="440"/>
      <c r="I3005" s="440"/>
      <c r="J3005" s="440"/>
      <c r="K3005" s="41"/>
      <c r="L3005" s="41"/>
      <c r="N3005" s="41"/>
      <c r="R3005" s="41"/>
      <c r="S3005" s="41"/>
      <c r="U3005" s="440"/>
      <c r="V3005" s="440"/>
    </row>
    <row r="3006" spans="1:22" x14ac:dyDescent="0.2">
      <c r="A3006" s="123"/>
      <c r="B3006" s="333"/>
      <c r="C3006" s="345"/>
      <c r="D3006" s="345"/>
      <c r="E3006" s="372"/>
      <c r="F3006" s="372"/>
      <c r="G3006" s="440"/>
      <c r="H3006" s="440"/>
      <c r="I3006" s="440"/>
      <c r="J3006" s="440"/>
      <c r="K3006" s="41"/>
      <c r="L3006" s="41"/>
      <c r="N3006" s="41"/>
      <c r="R3006" s="41"/>
      <c r="S3006" s="41"/>
      <c r="U3006" s="440"/>
      <c r="V3006" s="440"/>
    </row>
    <row r="3007" spans="1:22" x14ac:dyDescent="0.2">
      <c r="A3007" s="123"/>
      <c r="B3007" s="333"/>
      <c r="C3007" s="345"/>
      <c r="D3007" s="345"/>
      <c r="E3007" s="372"/>
      <c r="F3007" s="372"/>
      <c r="G3007" s="440"/>
      <c r="H3007" s="440"/>
      <c r="I3007" s="440"/>
      <c r="J3007" s="440"/>
      <c r="K3007" s="41"/>
      <c r="L3007" s="41"/>
      <c r="N3007" s="41"/>
      <c r="R3007" s="41"/>
      <c r="S3007" s="41"/>
      <c r="U3007" s="440"/>
      <c r="V3007" s="440"/>
    </row>
    <row r="3008" spans="1:22" x14ac:dyDescent="0.2">
      <c r="A3008" s="123"/>
      <c r="B3008" s="333"/>
      <c r="C3008" s="345"/>
      <c r="D3008" s="345"/>
      <c r="E3008" s="372"/>
      <c r="F3008" s="372"/>
      <c r="G3008" s="440"/>
      <c r="H3008" s="440"/>
      <c r="I3008" s="440"/>
      <c r="J3008" s="440"/>
      <c r="K3008" s="41"/>
      <c r="L3008" s="41"/>
      <c r="N3008" s="41"/>
      <c r="R3008" s="41"/>
      <c r="S3008" s="41"/>
      <c r="U3008" s="440"/>
      <c r="V3008" s="440"/>
    </row>
    <row r="3009" spans="1:22" x14ac:dyDescent="0.2">
      <c r="A3009" s="123"/>
      <c r="B3009" s="333"/>
      <c r="C3009" s="345"/>
      <c r="D3009" s="345"/>
      <c r="E3009" s="372"/>
      <c r="F3009" s="372"/>
      <c r="G3009" s="440"/>
      <c r="H3009" s="440"/>
      <c r="I3009" s="440"/>
      <c r="J3009" s="440"/>
      <c r="K3009" s="41"/>
      <c r="L3009" s="41"/>
      <c r="N3009" s="41"/>
      <c r="R3009" s="41"/>
      <c r="S3009" s="41"/>
      <c r="U3009" s="440"/>
      <c r="V3009" s="440"/>
    </row>
    <row r="3010" spans="1:22" x14ac:dyDescent="0.2">
      <c r="A3010" s="123"/>
      <c r="B3010" s="333"/>
      <c r="C3010" s="345"/>
      <c r="D3010" s="345"/>
      <c r="E3010" s="372"/>
      <c r="F3010" s="372"/>
      <c r="G3010" s="440"/>
      <c r="H3010" s="440"/>
      <c r="I3010" s="440"/>
      <c r="J3010" s="440"/>
      <c r="K3010" s="41"/>
      <c r="L3010" s="41"/>
      <c r="N3010" s="41"/>
      <c r="R3010" s="41"/>
      <c r="S3010" s="41"/>
      <c r="U3010" s="440"/>
      <c r="V3010" s="440"/>
    </row>
    <row r="3011" spans="1:22" x14ac:dyDescent="0.2">
      <c r="A3011" s="123"/>
      <c r="B3011" s="333"/>
      <c r="C3011" s="345"/>
      <c r="D3011" s="345"/>
      <c r="E3011" s="372"/>
      <c r="F3011" s="372"/>
      <c r="G3011" s="440"/>
      <c r="H3011" s="440"/>
      <c r="I3011" s="440"/>
      <c r="J3011" s="440"/>
      <c r="K3011" s="41"/>
      <c r="L3011" s="41"/>
      <c r="N3011" s="41"/>
      <c r="R3011" s="41"/>
      <c r="S3011" s="41"/>
      <c r="U3011" s="440"/>
      <c r="V3011" s="440"/>
    </row>
    <row r="3012" spans="1:22" x14ac:dyDescent="0.2">
      <c r="A3012" s="123"/>
      <c r="B3012" s="333"/>
      <c r="C3012" s="345"/>
      <c r="D3012" s="345"/>
      <c r="E3012" s="372"/>
      <c r="F3012" s="372"/>
      <c r="G3012" s="440"/>
      <c r="H3012" s="440"/>
      <c r="I3012" s="440"/>
      <c r="J3012" s="440"/>
      <c r="K3012" s="41"/>
      <c r="L3012" s="41"/>
      <c r="N3012" s="41"/>
      <c r="R3012" s="41"/>
      <c r="S3012" s="41"/>
      <c r="U3012" s="440"/>
      <c r="V3012" s="440"/>
    </row>
    <row r="3013" spans="1:22" x14ac:dyDescent="0.2">
      <c r="A3013" s="123"/>
      <c r="B3013" s="333"/>
      <c r="C3013" s="345"/>
      <c r="D3013" s="345"/>
      <c r="E3013" s="372"/>
      <c r="F3013" s="372"/>
      <c r="G3013" s="440"/>
      <c r="H3013" s="440"/>
      <c r="I3013" s="440"/>
      <c r="J3013" s="440"/>
      <c r="K3013" s="41"/>
      <c r="L3013" s="41"/>
      <c r="N3013" s="41"/>
      <c r="R3013" s="41"/>
      <c r="S3013" s="41"/>
      <c r="U3013" s="440"/>
      <c r="V3013" s="440"/>
    </row>
    <row r="3014" spans="1:22" x14ac:dyDescent="0.2">
      <c r="A3014" s="123"/>
      <c r="B3014" s="333"/>
      <c r="C3014" s="345"/>
      <c r="D3014" s="345"/>
      <c r="E3014" s="372"/>
      <c r="F3014" s="372"/>
      <c r="G3014" s="440"/>
      <c r="H3014" s="440"/>
      <c r="I3014" s="440"/>
      <c r="J3014" s="440"/>
      <c r="K3014" s="41"/>
      <c r="L3014" s="41"/>
      <c r="N3014" s="41"/>
      <c r="R3014" s="41"/>
      <c r="S3014" s="41"/>
      <c r="U3014" s="440"/>
      <c r="V3014" s="440"/>
    </row>
    <row r="3015" spans="1:22" x14ac:dyDescent="0.2">
      <c r="A3015" s="123"/>
      <c r="B3015" s="333"/>
      <c r="C3015" s="345"/>
      <c r="D3015" s="345"/>
      <c r="E3015" s="372"/>
      <c r="F3015" s="372"/>
      <c r="G3015" s="440"/>
      <c r="H3015" s="440"/>
      <c r="I3015" s="440"/>
      <c r="J3015" s="440"/>
      <c r="K3015" s="41"/>
      <c r="L3015" s="41"/>
      <c r="N3015" s="41"/>
      <c r="R3015" s="41"/>
      <c r="S3015" s="41"/>
      <c r="U3015" s="440"/>
      <c r="V3015" s="440"/>
    </row>
    <row r="3016" spans="1:22" x14ac:dyDescent="0.2">
      <c r="A3016" s="123"/>
      <c r="B3016" s="333"/>
      <c r="C3016" s="345"/>
      <c r="D3016" s="345"/>
      <c r="E3016" s="372"/>
      <c r="F3016" s="372"/>
      <c r="G3016" s="440"/>
      <c r="H3016" s="440"/>
      <c r="I3016" s="440"/>
      <c r="J3016" s="440"/>
      <c r="K3016" s="41"/>
      <c r="L3016" s="41"/>
      <c r="N3016" s="41"/>
      <c r="R3016" s="41"/>
      <c r="S3016" s="41"/>
      <c r="U3016" s="440"/>
      <c r="V3016" s="440"/>
    </row>
    <row r="3017" spans="1:22" x14ac:dyDescent="0.2">
      <c r="A3017" s="123"/>
      <c r="B3017" s="333"/>
      <c r="C3017" s="345"/>
      <c r="D3017" s="345"/>
      <c r="E3017" s="372"/>
      <c r="F3017" s="372"/>
      <c r="G3017" s="440"/>
      <c r="H3017" s="440"/>
      <c r="I3017" s="440"/>
      <c r="J3017" s="440"/>
      <c r="K3017" s="41"/>
      <c r="L3017" s="41"/>
      <c r="N3017" s="41"/>
      <c r="R3017" s="41"/>
      <c r="S3017" s="41"/>
      <c r="U3017" s="440"/>
      <c r="V3017" s="440"/>
    </row>
    <row r="3018" spans="1:22" x14ac:dyDescent="0.2">
      <c r="A3018" s="123"/>
      <c r="B3018" s="333"/>
      <c r="C3018" s="345"/>
      <c r="D3018" s="345"/>
      <c r="E3018" s="372"/>
      <c r="F3018" s="372"/>
      <c r="G3018" s="440"/>
      <c r="H3018" s="440"/>
      <c r="I3018" s="440"/>
      <c r="J3018" s="440"/>
      <c r="K3018" s="41"/>
      <c r="L3018" s="41"/>
      <c r="N3018" s="41"/>
      <c r="R3018" s="41"/>
      <c r="S3018" s="41"/>
      <c r="U3018" s="440"/>
      <c r="V3018" s="440"/>
    </row>
    <row r="3019" spans="1:22" x14ac:dyDescent="0.2">
      <c r="A3019" s="123"/>
      <c r="B3019" s="333"/>
      <c r="C3019" s="345"/>
      <c r="D3019" s="345"/>
      <c r="E3019" s="372"/>
      <c r="F3019" s="372"/>
      <c r="G3019" s="440"/>
      <c r="H3019" s="440"/>
      <c r="I3019" s="440"/>
      <c r="J3019" s="440"/>
      <c r="K3019" s="41"/>
      <c r="L3019" s="41"/>
      <c r="N3019" s="41"/>
      <c r="R3019" s="41"/>
      <c r="S3019" s="41"/>
      <c r="U3019" s="440"/>
      <c r="V3019" s="440"/>
    </row>
    <row r="3020" spans="1:22" x14ac:dyDescent="0.2">
      <c r="A3020" s="123"/>
      <c r="B3020" s="333"/>
      <c r="C3020" s="345"/>
      <c r="D3020" s="345"/>
      <c r="E3020" s="372"/>
      <c r="F3020" s="372"/>
      <c r="G3020" s="440"/>
      <c r="H3020" s="440"/>
      <c r="I3020" s="440"/>
      <c r="J3020" s="440"/>
      <c r="K3020" s="41"/>
      <c r="L3020" s="41"/>
      <c r="N3020" s="41"/>
      <c r="R3020" s="41"/>
      <c r="S3020" s="41"/>
      <c r="U3020" s="440"/>
      <c r="V3020" s="440"/>
    </row>
    <row r="3021" spans="1:22" x14ac:dyDescent="0.2">
      <c r="A3021" s="123"/>
      <c r="B3021" s="333"/>
      <c r="C3021" s="345"/>
      <c r="D3021" s="345"/>
      <c r="E3021" s="372"/>
      <c r="F3021" s="372"/>
      <c r="G3021" s="440"/>
      <c r="H3021" s="440"/>
      <c r="I3021" s="440"/>
      <c r="J3021" s="440"/>
      <c r="K3021" s="41"/>
      <c r="L3021" s="41"/>
      <c r="N3021" s="41"/>
      <c r="R3021" s="41"/>
      <c r="S3021" s="41"/>
      <c r="U3021" s="440"/>
      <c r="V3021" s="440"/>
    </row>
    <row r="3022" spans="1:22" x14ac:dyDescent="0.2">
      <c r="A3022" s="123"/>
      <c r="B3022" s="333"/>
      <c r="C3022" s="345"/>
      <c r="D3022" s="345"/>
      <c r="E3022" s="372"/>
      <c r="F3022" s="372"/>
      <c r="G3022" s="440"/>
      <c r="H3022" s="440"/>
      <c r="I3022" s="440"/>
      <c r="J3022" s="440"/>
      <c r="K3022" s="41"/>
      <c r="L3022" s="41"/>
      <c r="N3022" s="41"/>
      <c r="R3022" s="41"/>
      <c r="S3022" s="41"/>
      <c r="U3022" s="440"/>
      <c r="V3022" s="440"/>
    </row>
    <row r="3023" spans="1:22" x14ac:dyDescent="0.2">
      <c r="A3023" s="123"/>
      <c r="B3023" s="333"/>
      <c r="C3023" s="345"/>
      <c r="D3023" s="345"/>
      <c r="E3023" s="372"/>
      <c r="F3023" s="372"/>
      <c r="G3023" s="440"/>
      <c r="H3023" s="440"/>
      <c r="I3023" s="440"/>
      <c r="J3023" s="440"/>
      <c r="K3023" s="41"/>
      <c r="L3023" s="41"/>
      <c r="N3023" s="41"/>
      <c r="R3023" s="41"/>
      <c r="S3023" s="41"/>
      <c r="U3023" s="440"/>
      <c r="V3023" s="440"/>
    </row>
    <row r="3024" spans="1:22" x14ac:dyDescent="0.2">
      <c r="A3024" s="123"/>
      <c r="B3024" s="333"/>
      <c r="C3024" s="345"/>
      <c r="D3024" s="345"/>
      <c r="E3024" s="372"/>
      <c r="F3024" s="372"/>
      <c r="G3024" s="440"/>
      <c r="H3024" s="440"/>
      <c r="I3024" s="440"/>
      <c r="J3024" s="440"/>
      <c r="K3024" s="41"/>
      <c r="L3024" s="41"/>
      <c r="N3024" s="41"/>
      <c r="R3024" s="41"/>
      <c r="S3024" s="41"/>
      <c r="U3024" s="440"/>
      <c r="V3024" s="440"/>
    </row>
    <row r="3025" spans="1:22" x14ac:dyDescent="0.2">
      <c r="A3025" s="123"/>
      <c r="B3025" s="333"/>
      <c r="C3025" s="345"/>
      <c r="D3025" s="345"/>
      <c r="E3025" s="372"/>
      <c r="F3025" s="372"/>
      <c r="G3025" s="440"/>
      <c r="H3025" s="440"/>
      <c r="I3025" s="440"/>
      <c r="J3025" s="440"/>
      <c r="K3025" s="41"/>
      <c r="L3025" s="41"/>
      <c r="N3025" s="41"/>
      <c r="R3025" s="41"/>
      <c r="S3025" s="41"/>
      <c r="U3025" s="440"/>
      <c r="V3025" s="440"/>
    </row>
    <row r="3026" spans="1:22" x14ac:dyDescent="0.2">
      <c r="A3026" s="123"/>
      <c r="B3026" s="333"/>
      <c r="C3026" s="345"/>
      <c r="D3026" s="345"/>
      <c r="E3026" s="372"/>
      <c r="F3026" s="372"/>
      <c r="G3026" s="440"/>
      <c r="H3026" s="440"/>
      <c r="I3026" s="440"/>
      <c r="J3026" s="440"/>
      <c r="K3026" s="41"/>
      <c r="L3026" s="41"/>
      <c r="N3026" s="41"/>
      <c r="R3026" s="41"/>
      <c r="S3026" s="41"/>
      <c r="U3026" s="440"/>
      <c r="V3026" s="440"/>
    </row>
    <row r="3027" spans="1:22" x14ac:dyDescent="0.2">
      <c r="A3027" s="123"/>
      <c r="B3027" s="333"/>
      <c r="C3027" s="345"/>
      <c r="D3027" s="345"/>
      <c r="E3027" s="372"/>
      <c r="F3027" s="372"/>
      <c r="G3027" s="440"/>
      <c r="H3027" s="440"/>
      <c r="I3027" s="440"/>
      <c r="J3027" s="440"/>
      <c r="K3027" s="41"/>
      <c r="L3027" s="41"/>
      <c r="N3027" s="41"/>
      <c r="R3027" s="41"/>
      <c r="S3027" s="41"/>
      <c r="U3027" s="440"/>
      <c r="V3027" s="440"/>
    </row>
    <row r="3028" spans="1:22" x14ac:dyDescent="0.2">
      <c r="A3028" s="123"/>
      <c r="B3028" s="333"/>
      <c r="C3028" s="345"/>
      <c r="D3028" s="345"/>
      <c r="E3028" s="372"/>
      <c r="F3028" s="372"/>
      <c r="G3028" s="440"/>
      <c r="H3028" s="440"/>
      <c r="I3028" s="440"/>
      <c r="J3028" s="440"/>
      <c r="K3028" s="41"/>
      <c r="L3028" s="41"/>
      <c r="N3028" s="41"/>
      <c r="R3028" s="41"/>
      <c r="S3028" s="41"/>
      <c r="U3028" s="440"/>
      <c r="V3028" s="440"/>
    </row>
    <row r="3029" spans="1:22" x14ac:dyDescent="0.2">
      <c r="A3029" s="123"/>
      <c r="B3029" s="333"/>
      <c r="C3029" s="345"/>
      <c r="D3029" s="345"/>
      <c r="E3029" s="372"/>
      <c r="F3029" s="372"/>
      <c r="G3029" s="440"/>
      <c r="H3029" s="440"/>
      <c r="I3029" s="440"/>
      <c r="J3029" s="440"/>
      <c r="K3029" s="41"/>
      <c r="L3029" s="41"/>
      <c r="N3029" s="41"/>
      <c r="R3029" s="41"/>
      <c r="S3029" s="41"/>
      <c r="U3029" s="440"/>
      <c r="V3029" s="440"/>
    </row>
    <row r="3030" spans="1:22" x14ac:dyDescent="0.2">
      <c r="A3030" s="123"/>
      <c r="B3030" s="333"/>
      <c r="C3030" s="345"/>
      <c r="D3030" s="345"/>
      <c r="E3030" s="372"/>
      <c r="F3030" s="372"/>
      <c r="G3030" s="440"/>
      <c r="H3030" s="440"/>
      <c r="I3030" s="440"/>
      <c r="J3030" s="440"/>
      <c r="K3030" s="41"/>
      <c r="L3030" s="41"/>
      <c r="N3030" s="41"/>
      <c r="R3030" s="41"/>
      <c r="S3030" s="41"/>
      <c r="U3030" s="440"/>
      <c r="V3030" s="440"/>
    </row>
    <row r="3031" spans="1:22" x14ac:dyDescent="0.2">
      <c r="A3031" s="123"/>
      <c r="B3031" s="333"/>
      <c r="C3031" s="345"/>
      <c r="D3031" s="345"/>
      <c r="E3031" s="372"/>
      <c r="F3031" s="372"/>
      <c r="G3031" s="440"/>
      <c r="H3031" s="440"/>
      <c r="I3031" s="440"/>
      <c r="J3031" s="440"/>
      <c r="K3031" s="41"/>
      <c r="L3031" s="41"/>
      <c r="N3031" s="41"/>
      <c r="R3031" s="41"/>
      <c r="S3031" s="41"/>
      <c r="U3031" s="440"/>
      <c r="V3031" s="440"/>
    </row>
    <row r="3032" spans="1:22" x14ac:dyDescent="0.2">
      <c r="A3032" s="123"/>
      <c r="B3032" s="333"/>
      <c r="C3032" s="345"/>
      <c r="D3032" s="345"/>
      <c r="E3032" s="372"/>
      <c r="F3032" s="372"/>
      <c r="G3032" s="440"/>
      <c r="H3032" s="440"/>
      <c r="I3032" s="440"/>
      <c r="J3032" s="440"/>
      <c r="K3032" s="41"/>
      <c r="L3032" s="41"/>
      <c r="N3032" s="41"/>
      <c r="R3032" s="41"/>
      <c r="S3032" s="41"/>
      <c r="U3032" s="440"/>
      <c r="V3032" s="440"/>
    </row>
    <row r="3033" spans="1:22" x14ac:dyDescent="0.2">
      <c r="A3033" s="123"/>
      <c r="B3033" s="333"/>
      <c r="C3033" s="345"/>
      <c r="D3033" s="345"/>
      <c r="E3033" s="372"/>
      <c r="F3033" s="372"/>
      <c r="G3033" s="440"/>
      <c r="H3033" s="440"/>
      <c r="I3033" s="440"/>
      <c r="J3033" s="440"/>
      <c r="K3033" s="41"/>
      <c r="L3033" s="41"/>
      <c r="N3033" s="41"/>
      <c r="R3033" s="41"/>
      <c r="S3033" s="41"/>
      <c r="U3033" s="440"/>
      <c r="V3033" s="440"/>
    </row>
    <row r="3034" spans="1:22" x14ac:dyDescent="0.2">
      <c r="A3034" s="123"/>
      <c r="B3034" s="333"/>
      <c r="C3034" s="345"/>
      <c r="D3034" s="345"/>
      <c r="E3034" s="372"/>
      <c r="F3034" s="372"/>
      <c r="G3034" s="440"/>
      <c r="H3034" s="440"/>
      <c r="I3034" s="440"/>
      <c r="J3034" s="440"/>
      <c r="K3034" s="41"/>
      <c r="L3034" s="41"/>
      <c r="N3034" s="41"/>
      <c r="R3034" s="41"/>
      <c r="S3034" s="41"/>
      <c r="U3034" s="440"/>
      <c r="V3034" s="440"/>
    </row>
    <row r="3035" spans="1:22" x14ac:dyDescent="0.2">
      <c r="A3035" s="123"/>
      <c r="B3035" s="333"/>
      <c r="C3035" s="345"/>
      <c r="D3035" s="345"/>
      <c r="E3035" s="372"/>
      <c r="F3035" s="372"/>
      <c r="G3035" s="440"/>
      <c r="H3035" s="440"/>
      <c r="I3035" s="440"/>
      <c r="J3035" s="440"/>
      <c r="K3035" s="41"/>
      <c r="L3035" s="41"/>
      <c r="N3035" s="41"/>
      <c r="R3035" s="41"/>
      <c r="S3035" s="41"/>
      <c r="U3035" s="440"/>
      <c r="V3035" s="440"/>
    </row>
    <row r="3036" spans="1:22" x14ac:dyDescent="0.2">
      <c r="A3036" s="123"/>
      <c r="B3036" s="333"/>
      <c r="C3036" s="345"/>
      <c r="D3036" s="345"/>
      <c r="E3036" s="372"/>
      <c r="F3036" s="372"/>
      <c r="G3036" s="440"/>
      <c r="H3036" s="440"/>
      <c r="I3036" s="440"/>
      <c r="J3036" s="440"/>
      <c r="K3036" s="41"/>
      <c r="L3036" s="41"/>
      <c r="N3036" s="41"/>
      <c r="R3036" s="41"/>
      <c r="S3036" s="41"/>
      <c r="U3036" s="440"/>
      <c r="V3036" s="440"/>
    </row>
    <row r="3037" spans="1:22" x14ac:dyDescent="0.2">
      <c r="A3037" s="123"/>
      <c r="B3037" s="333"/>
      <c r="C3037" s="345"/>
      <c r="D3037" s="345"/>
      <c r="E3037" s="372"/>
      <c r="F3037" s="372"/>
      <c r="G3037" s="440"/>
      <c r="H3037" s="440"/>
      <c r="I3037" s="440"/>
      <c r="J3037" s="440"/>
      <c r="K3037" s="41"/>
      <c r="L3037" s="41"/>
      <c r="N3037" s="41"/>
      <c r="R3037" s="41"/>
      <c r="S3037" s="41"/>
      <c r="U3037" s="440"/>
      <c r="V3037" s="440"/>
    </row>
    <row r="3038" spans="1:22" x14ac:dyDescent="0.2">
      <c r="A3038" s="123"/>
      <c r="B3038" s="333"/>
      <c r="C3038" s="345"/>
      <c r="D3038" s="345"/>
      <c r="E3038" s="372"/>
      <c r="F3038" s="372"/>
      <c r="G3038" s="440"/>
      <c r="H3038" s="440"/>
      <c r="I3038" s="440"/>
      <c r="J3038" s="440"/>
      <c r="K3038" s="41"/>
      <c r="L3038" s="41"/>
      <c r="N3038" s="41"/>
      <c r="R3038" s="41"/>
      <c r="S3038" s="41"/>
      <c r="U3038" s="440"/>
      <c r="V3038" s="440"/>
    </row>
    <row r="3039" spans="1:22" x14ac:dyDescent="0.2">
      <c r="A3039" s="123"/>
      <c r="B3039" s="333"/>
      <c r="C3039" s="345"/>
      <c r="D3039" s="345"/>
      <c r="E3039" s="372"/>
      <c r="F3039" s="372"/>
      <c r="G3039" s="440"/>
      <c r="H3039" s="440"/>
      <c r="I3039" s="440"/>
      <c r="J3039" s="440"/>
      <c r="K3039" s="41"/>
      <c r="L3039" s="41"/>
      <c r="N3039" s="41"/>
      <c r="R3039" s="41"/>
      <c r="S3039" s="41"/>
      <c r="U3039" s="440"/>
      <c r="V3039" s="440"/>
    </row>
    <row r="3040" spans="1:22" x14ac:dyDescent="0.2">
      <c r="A3040" s="123"/>
      <c r="B3040" s="333"/>
      <c r="C3040" s="345"/>
      <c r="D3040" s="345"/>
      <c r="E3040" s="372"/>
      <c r="F3040" s="372"/>
      <c r="G3040" s="440"/>
      <c r="H3040" s="440"/>
      <c r="I3040" s="440"/>
      <c r="J3040" s="440"/>
      <c r="K3040" s="41"/>
      <c r="L3040" s="41"/>
      <c r="N3040" s="41"/>
      <c r="R3040" s="41"/>
      <c r="S3040" s="41"/>
      <c r="U3040" s="440"/>
      <c r="V3040" s="440"/>
    </row>
    <row r="3041" spans="1:22" x14ac:dyDescent="0.2">
      <c r="A3041" s="123"/>
      <c r="B3041" s="333"/>
      <c r="C3041" s="345"/>
      <c r="D3041" s="345"/>
      <c r="E3041" s="372"/>
      <c r="F3041" s="372"/>
      <c r="G3041" s="440"/>
      <c r="H3041" s="440"/>
      <c r="I3041" s="440"/>
      <c r="J3041" s="440"/>
      <c r="K3041" s="41"/>
      <c r="L3041" s="41"/>
      <c r="N3041" s="41"/>
      <c r="R3041" s="41"/>
      <c r="S3041" s="41"/>
      <c r="U3041" s="440"/>
      <c r="V3041" s="440"/>
    </row>
    <row r="3042" spans="1:22" x14ac:dyDescent="0.2">
      <c r="A3042" s="123"/>
      <c r="B3042" s="333"/>
      <c r="C3042" s="345"/>
      <c r="D3042" s="345"/>
      <c r="E3042" s="372"/>
      <c r="F3042" s="372"/>
      <c r="G3042" s="440"/>
      <c r="H3042" s="440"/>
      <c r="I3042" s="440"/>
      <c r="J3042" s="440"/>
      <c r="K3042" s="41"/>
      <c r="L3042" s="41"/>
      <c r="N3042" s="41"/>
      <c r="R3042" s="41"/>
      <c r="S3042" s="41"/>
      <c r="U3042" s="440"/>
      <c r="V3042" s="440"/>
    </row>
    <row r="3043" spans="1:22" x14ac:dyDescent="0.2">
      <c r="A3043" s="123"/>
      <c r="B3043" s="333"/>
      <c r="C3043" s="345"/>
      <c r="D3043" s="345"/>
      <c r="E3043" s="372"/>
      <c r="F3043" s="372"/>
      <c r="G3043" s="440"/>
      <c r="H3043" s="440"/>
      <c r="I3043" s="440"/>
      <c r="J3043" s="440"/>
      <c r="K3043" s="41"/>
      <c r="L3043" s="41"/>
      <c r="N3043" s="41"/>
      <c r="R3043" s="41"/>
      <c r="S3043" s="41"/>
      <c r="U3043" s="440"/>
      <c r="V3043" s="440"/>
    </row>
    <row r="3044" spans="1:22" x14ac:dyDescent="0.2">
      <c r="A3044" s="123"/>
      <c r="B3044" s="333"/>
      <c r="C3044" s="345"/>
      <c r="D3044" s="345"/>
      <c r="E3044" s="372"/>
      <c r="F3044" s="372"/>
      <c r="G3044" s="440"/>
      <c r="H3044" s="440"/>
      <c r="I3044" s="440"/>
      <c r="J3044" s="440"/>
      <c r="K3044" s="41"/>
      <c r="L3044" s="41"/>
      <c r="N3044" s="41"/>
      <c r="R3044" s="41"/>
      <c r="S3044" s="41"/>
      <c r="U3044" s="440"/>
      <c r="V3044" s="440"/>
    </row>
    <row r="3045" spans="1:22" x14ac:dyDescent="0.2">
      <c r="A3045" s="123"/>
      <c r="B3045" s="333"/>
      <c r="C3045" s="345"/>
      <c r="D3045" s="345"/>
      <c r="E3045" s="372"/>
      <c r="F3045" s="372"/>
      <c r="G3045" s="440"/>
      <c r="H3045" s="440"/>
      <c r="I3045" s="440"/>
      <c r="J3045" s="440"/>
      <c r="K3045" s="41"/>
      <c r="L3045" s="41"/>
      <c r="N3045" s="41"/>
      <c r="R3045" s="41"/>
      <c r="S3045" s="41"/>
      <c r="U3045" s="440"/>
      <c r="V3045" s="440"/>
    </row>
    <row r="3046" spans="1:22" x14ac:dyDescent="0.2">
      <c r="A3046" s="123"/>
      <c r="B3046" s="333"/>
      <c r="C3046" s="345"/>
      <c r="D3046" s="345"/>
      <c r="E3046" s="372"/>
      <c r="F3046" s="372"/>
      <c r="G3046" s="440"/>
      <c r="H3046" s="440"/>
      <c r="I3046" s="440"/>
      <c r="J3046" s="440"/>
      <c r="K3046" s="41"/>
      <c r="L3046" s="41"/>
      <c r="N3046" s="41"/>
      <c r="R3046" s="41"/>
      <c r="S3046" s="41"/>
      <c r="U3046" s="440"/>
      <c r="V3046" s="440"/>
    </row>
    <row r="3047" spans="1:22" x14ac:dyDescent="0.2">
      <c r="A3047" s="123"/>
      <c r="B3047" s="333"/>
      <c r="C3047" s="345"/>
      <c r="D3047" s="345"/>
      <c r="E3047" s="372"/>
      <c r="F3047" s="372"/>
      <c r="G3047" s="440"/>
      <c r="H3047" s="440"/>
      <c r="I3047" s="440"/>
      <c r="J3047" s="440"/>
      <c r="K3047" s="41"/>
      <c r="L3047" s="41"/>
      <c r="N3047" s="41"/>
      <c r="R3047" s="41"/>
      <c r="S3047" s="41"/>
      <c r="U3047" s="440"/>
      <c r="V3047" s="440"/>
    </row>
    <row r="3048" spans="1:22" x14ac:dyDescent="0.2">
      <c r="A3048" s="123"/>
      <c r="B3048" s="333"/>
      <c r="C3048" s="345"/>
      <c r="D3048" s="345"/>
      <c r="E3048" s="372"/>
      <c r="F3048" s="372"/>
      <c r="G3048" s="440"/>
      <c r="H3048" s="440"/>
      <c r="I3048" s="440"/>
      <c r="J3048" s="440"/>
      <c r="K3048" s="41"/>
      <c r="L3048" s="41"/>
      <c r="N3048" s="41"/>
      <c r="R3048" s="41"/>
      <c r="S3048" s="41"/>
      <c r="U3048" s="440"/>
      <c r="V3048" s="440"/>
    </row>
    <row r="3049" spans="1:22" x14ac:dyDescent="0.2">
      <c r="A3049" s="123"/>
      <c r="B3049" s="333"/>
      <c r="C3049" s="345"/>
      <c r="D3049" s="345"/>
      <c r="E3049" s="372"/>
      <c r="F3049" s="372"/>
      <c r="G3049" s="440"/>
      <c r="H3049" s="440"/>
      <c r="I3049" s="440"/>
      <c r="J3049" s="440"/>
      <c r="K3049" s="41"/>
      <c r="L3049" s="41"/>
      <c r="N3049" s="41"/>
      <c r="R3049" s="41"/>
      <c r="S3049" s="41"/>
      <c r="U3049" s="440"/>
      <c r="V3049" s="440"/>
    </row>
    <row r="3050" spans="1:22" x14ac:dyDescent="0.2">
      <c r="A3050" s="123"/>
      <c r="B3050" s="333"/>
      <c r="C3050" s="345"/>
      <c r="D3050" s="345"/>
      <c r="E3050" s="372"/>
      <c r="F3050" s="372"/>
      <c r="G3050" s="440"/>
      <c r="H3050" s="440"/>
      <c r="I3050" s="440"/>
      <c r="J3050" s="440"/>
      <c r="K3050" s="41"/>
      <c r="L3050" s="41"/>
      <c r="N3050" s="41"/>
      <c r="R3050" s="41"/>
      <c r="S3050" s="41"/>
      <c r="U3050" s="440"/>
      <c r="V3050" s="440"/>
    </row>
    <row r="3051" spans="1:22" x14ac:dyDescent="0.2">
      <c r="A3051" s="123"/>
      <c r="B3051" s="333"/>
      <c r="C3051" s="345"/>
      <c r="D3051" s="345"/>
      <c r="E3051" s="372"/>
      <c r="F3051" s="372"/>
      <c r="G3051" s="440"/>
      <c r="H3051" s="440"/>
      <c r="I3051" s="440"/>
      <c r="J3051" s="440"/>
      <c r="K3051" s="41"/>
      <c r="L3051" s="41"/>
      <c r="N3051" s="41"/>
      <c r="R3051" s="41"/>
      <c r="S3051" s="41"/>
      <c r="U3051" s="440"/>
      <c r="V3051" s="440"/>
    </row>
    <row r="3052" spans="1:22" x14ac:dyDescent="0.2">
      <c r="A3052" s="123"/>
      <c r="B3052" s="333"/>
      <c r="C3052" s="345"/>
      <c r="D3052" s="345"/>
      <c r="E3052" s="372"/>
      <c r="F3052" s="372"/>
      <c r="G3052" s="440"/>
      <c r="H3052" s="440"/>
      <c r="I3052" s="440"/>
      <c r="J3052" s="440"/>
      <c r="K3052" s="41"/>
      <c r="L3052" s="41"/>
      <c r="N3052" s="41"/>
      <c r="R3052" s="41"/>
      <c r="S3052" s="41"/>
      <c r="U3052" s="440"/>
      <c r="V3052" s="440"/>
    </row>
    <row r="3053" spans="1:22" x14ac:dyDescent="0.2">
      <c r="A3053" s="123"/>
      <c r="B3053" s="333"/>
      <c r="C3053" s="345"/>
      <c r="D3053" s="345"/>
      <c r="E3053" s="372"/>
      <c r="F3053" s="372"/>
      <c r="G3053" s="440"/>
      <c r="H3053" s="440"/>
      <c r="I3053" s="440"/>
      <c r="J3053" s="440"/>
      <c r="K3053" s="41"/>
      <c r="L3053" s="41"/>
      <c r="N3053" s="41"/>
      <c r="R3053" s="41"/>
      <c r="S3053" s="41"/>
      <c r="U3053" s="440"/>
      <c r="V3053" s="440"/>
    </row>
    <row r="3054" spans="1:22" x14ac:dyDescent="0.2">
      <c r="A3054" s="123"/>
      <c r="B3054" s="333"/>
      <c r="C3054" s="345"/>
      <c r="D3054" s="345"/>
      <c r="E3054" s="372"/>
      <c r="F3054" s="372"/>
      <c r="G3054" s="440"/>
      <c r="H3054" s="440"/>
      <c r="I3054" s="440"/>
      <c r="J3054" s="440"/>
      <c r="K3054" s="41"/>
      <c r="L3054" s="41"/>
      <c r="N3054" s="41"/>
      <c r="R3054" s="41"/>
      <c r="S3054" s="41"/>
      <c r="U3054" s="440"/>
      <c r="V3054" s="440"/>
    </row>
    <row r="3055" spans="1:22" x14ac:dyDescent="0.2">
      <c r="A3055" s="123"/>
      <c r="B3055" s="333"/>
      <c r="C3055" s="345"/>
      <c r="D3055" s="345"/>
      <c r="E3055" s="372"/>
      <c r="F3055" s="372"/>
      <c r="G3055" s="440"/>
      <c r="H3055" s="440"/>
      <c r="I3055" s="440"/>
      <c r="J3055" s="440"/>
      <c r="K3055" s="41"/>
      <c r="L3055" s="41"/>
      <c r="N3055" s="41"/>
      <c r="R3055" s="41"/>
      <c r="S3055" s="41"/>
      <c r="U3055" s="440"/>
      <c r="V3055" s="440"/>
    </row>
    <row r="3056" spans="1:22" x14ac:dyDescent="0.2">
      <c r="A3056" s="123"/>
      <c r="B3056" s="333"/>
      <c r="C3056" s="345"/>
      <c r="D3056" s="345"/>
      <c r="E3056" s="372"/>
      <c r="F3056" s="372"/>
      <c r="G3056" s="440"/>
      <c r="H3056" s="440"/>
      <c r="I3056" s="440"/>
      <c r="J3056" s="440"/>
      <c r="K3056" s="41"/>
      <c r="L3056" s="41"/>
      <c r="N3056" s="41"/>
      <c r="R3056" s="41"/>
      <c r="S3056" s="41"/>
      <c r="U3056" s="440"/>
      <c r="V3056" s="440"/>
    </row>
    <row r="3057" spans="1:22" x14ac:dyDescent="0.2">
      <c r="A3057" s="123"/>
      <c r="B3057" s="333"/>
      <c r="C3057" s="345"/>
      <c r="D3057" s="345"/>
      <c r="E3057" s="372"/>
      <c r="F3057" s="372"/>
      <c r="G3057" s="440"/>
      <c r="H3057" s="440"/>
      <c r="I3057" s="440"/>
      <c r="J3057" s="440"/>
      <c r="K3057" s="41"/>
      <c r="L3057" s="41"/>
      <c r="N3057" s="41"/>
      <c r="R3057" s="41"/>
      <c r="S3057" s="41"/>
      <c r="U3057" s="440"/>
      <c r="V3057" s="440"/>
    </row>
    <row r="3058" spans="1:22" x14ac:dyDescent="0.2">
      <c r="A3058" s="123"/>
      <c r="B3058" s="333"/>
      <c r="C3058" s="345"/>
      <c r="D3058" s="345"/>
      <c r="E3058" s="372"/>
      <c r="F3058" s="372"/>
      <c r="G3058" s="440"/>
      <c r="H3058" s="440"/>
      <c r="I3058" s="440"/>
      <c r="J3058" s="440"/>
      <c r="K3058" s="41"/>
      <c r="L3058" s="41"/>
      <c r="N3058" s="41"/>
      <c r="R3058" s="41"/>
      <c r="S3058" s="41"/>
      <c r="U3058" s="440"/>
      <c r="V3058" s="440"/>
    </row>
    <row r="3059" spans="1:22" x14ac:dyDescent="0.2">
      <c r="A3059" s="123"/>
      <c r="B3059" s="333"/>
      <c r="C3059" s="345"/>
      <c r="D3059" s="345"/>
      <c r="E3059" s="372"/>
      <c r="F3059" s="372"/>
      <c r="G3059" s="440"/>
      <c r="H3059" s="440"/>
      <c r="I3059" s="440"/>
      <c r="J3059" s="440"/>
      <c r="K3059" s="41"/>
      <c r="L3059" s="41"/>
      <c r="N3059" s="41"/>
      <c r="R3059" s="41"/>
      <c r="S3059" s="41"/>
      <c r="U3059" s="440"/>
      <c r="V3059" s="440"/>
    </row>
    <row r="3060" spans="1:22" x14ac:dyDescent="0.2">
      <c r="A3060" s="123"/>
      <c r="B3060" s="333"/>
      <c r="C3060" s="345"/>
      <c r="D3060" s="345"/>
      <c r="E3060" s="372"/>
      <c r="F3060" s="372"/>
      <c r="G3060" s="440"/>
      <c r="H3060" s="440"/>
      <c r="I3060" s="440"/>
      <c r="J3060" s="440"/>
      <c r="K3060" s="41"/>
      <c r="L3060" s="41"/>
      <c r="N3060" s="41"/>
      <c r="R3060" s="41"/>
      <c r="S3060" s="41"/>
      <c r="U3060" s="440"/>
      <c r="V3060" s="440"/>
    </row>
    <row r="3061" spans="1:22" x14ac:dyDescent="0.2">
      <c r="A3061" s="123"/>
      <c r="B3061" s="333"/>
      <c r="C3061" s="345"/>
      <c r="D3061" s="345"/>
      <c r="E3061" s="372"/>
      <c r="F3061" s="372"/>
      <c r="G3061" s="440"/>
      <c r="H3061" s="440"/>
      <c r="I3061" s="440"/>
      <c r="J3061" s="440"/>
      <c r="K3061" s="41"/>
      <c r="L3061" s="41"/>
      <c r="N3061" s="41"/>
      <c r="R3061" s="41"/>
      <c r="S3061" s="41"/>
      <c r="U3061" s="440"/>
      <c r="V3061" s="440"/>
    </row>
    <row r="3062" spans="1:22" x14ac:dyDescent="0.2">
      <c r="A3062" s="123"/>
      <c r="B3062" s="333"/>
      <c r="C3062" s="345"/>
      <c r="D3062" s="345"/>
      <c r="E3062" s="372"/>
      <c r="F3062" s="372"/>
      <c r="G3062" s="440"/>
      <c r="H3062" s="440"/>
      <c r="I3062" s="440"/>
      <c r="J3062" s="440"/>
      <c r="K3062" s="41"/>
      <c r="L3062" s="41"/>
      <c r="N3062" s="41"/>
      <c r="R3062" s="41"/>
      <c r="S3062" s="41"/>
      <c r="U3062" s="440"/>
      <c r="V3062" s="440"/>
    </row>
    <row r="3063" spans="1:22" x14ac:dyDescent="0.2">
      <c r="A3063" s="123"/>
      <c r="B3063" s="333"/>
      <c r="C3063" s="345"/>
      <c r="D3063" s="345"/>
      <c r="E3063" s="372"/>
      <c r="F3063" s="372"/>
      <c r="G3063" s="440"/>
      <c r="H3063" s="440"/>
      <c r="I3063" s="440"/>
      <c r="J3063" s="440"/>
      <c r="K3063" s="41"/>
      <c r="L3063" s="41"/>
      <c r="N3063" s="41"/>
      <c r="R3063" s="41"/>
      <c r="S3063" s="41"/>
      <c r="U3063" s="440"/>
      <c r="V3063" s="440"/>
    </row>
    <row r="3064" spans="1:22" x14ac:dyDescent="0.2">
      <c r="A3064" s="123"/>
      <c r="B3064" s="333"/>
      <c r="C3064" s="345"/>
      <c r="D3064" s="345"/>
      <c r="E3064" s="372"/>
      <c r="F3064" s="372"/>
      <c r="G3064" s="440"/>
      <c r="H3064" s="440"/>
      <c r="I3064" s="440"/>
      <c r="J3064" s="440"/>
      <c r="K3064" s="41"/>
      <c r="L3064" s="41"/>
      <c r="N3064" s="41"/>
      <c r="R3064" s="41"/>
      <c r="S3064" s="41"/>
      <c r="U3064" s="440"/>
      <c r="V3064" s="440"/>
    </row>
    <row r="3065" spans="1:22" x14ac:dyDescent="0.2">
      <c r="A3065" s="123"/>
      <c r="B3065" s="333"/>
      <c r="C3065" s="345"/>
      <c r="D3065" s="345"/>
      <c r="E3065" s="372"/>
      <c r="F3065" s="372"/>
      <c r="G3065" s="440"/>
      <c r="H3065" s="440"/>
      <c r="I3065" s="440"/>
      <c r="J3065" s="440"/>
      <c r="K3065" s="41"/>
      <c r="L3065" s="41"/>
      <c r="N3065" s="41"/>
      <c r="R3065" s="41"/>
      <c r="S3065" s="41"/>
      <c r="U3065" s="440"/>
      <c r="V3065" s="440"/>
    </row>
    <row r="3068" spans="1:22" x14ac:dyDescent="0.2">
      <c r="G3068" s="482" t="e">
        <f>#REF!+#REF!+#REF!+#REF!+#REF!+#REF!+#REF!+#REF!+#REF!+#REF!</f>
        <v>#REF!</v>
      </c>
      <c r="I3068" s="482" t="e">
        <f>#REF!+#REF!+#REF!+#REF!+#REF!+#REF!+#REF!+#REF!+#REF!+#REF!</f>
        <v>#REF!</v>
      </c>
      <c r="K3068" s="165" t="e">
        <f>#REF!+#REF!+#REF!+#REF!+#REF!+#REF!+#REF!+#REF!+#REF!+#REF!</f>
        <v>#REF!</v>
      </c>
      <c r="N3068" s="165" t="e">
        <f>#REF!+#REF!+#REF!+#REF!+#REF!+#REF!+#REF!+#REF!+#REF!+#REF!</f>
        <v>#REF!</v>
      </c>
      <c r="R3068" s="165" t="e">
        <f>#REF!+#REF!+#REF!+#REF!+#REF!+#REF!+#REF!+#REF!+#REF!+#REF!</f>
        <v>#REF!</v>
      </c>
      <c r="U3068" s="482" t="e">
        <f>#REF!+#REF!+#REF!+#REF!+#REF!+#REF!+#REF!+#REF!+#REF!+#REF!</f>
        <v>#REF!</v>
      </c>
    </row>
  </sheetData>
  <autoFilter ref="A10:Z2376">
    <filterColumn colId="8">
      <filters>
        <filter val="0,4"/>
        <filter val="0,7"/>
        <filter val="1 000,0"/>
        <filter val="1 000,5"/>
        <filter val="1 003,6"/>
        <filter val="1 006,7"/>
        <filter val="1 017,9"/>
        <filter val="1 025,1"/>
        <filter val="1 036,2"/>
        <filter val="1 037,7"/>
        <filter val="1 040,1"/>
        <filter val="1 051,8"/>
        <filter val="1 055,0"/>
        <filter val="1 066,1"/>
        <filter val="1 082,0"/>
        <filter val="1 083,2"/>
        <filter val="1 137,6"/>
        <filter val="1 146 938,5"/>
        <filter val="1 150 938,5"/>
        <filter val="1 151,1"/>
        <filter val="1 153,8"/>
        <filter val="1 160,5"/>
        <filter val="1 168,6"/>
        <filter val="1 169,0"/>
        <filter val="1 178 722,14310"/>
        <filter val="1 185,2"/>
        <filter val="1 256,6"/>
        <filter val="1 264,9"/>
        <filter val="1 267,6"/>
        <filter val="1 269,7"/>
        <filter val="1 297,9"/>
        <filter val="1 310,7"/>
        <filter val="1 315,6"/>
        <filter val="1 322,3"/>
        <filter val="1 370,5"/>
        <filter val="1 372,6"/>
        <filter val="1 373,5"/>
        <filter val="1 378,9"/>
        <filter val="1 444,1"/>
        <filter val="1 454,6"/>
        <filter val="1 465,8"/>
        <filter val="1 473,3"/>
        <filter val="1 500,0"/>
        <filter val="1 506,0"/>
        <filter val="1 508,5"/>
        <filter val="1 517,6"/>
        <filter val="1 522,0"/>
        <filter val="1 526,9"/>
        <filter val="1 543,8"/>
        <filter val="1 596,8"/>
        <filter val="1 610,0"/>
        <filter val="1 612,2"/>
        <filter val="1 616,3"/>
        <filter val="1 634,3"/>
        <filter val="1 649,9"/>
        <filter val="1 659,8"/>
        <filter val="1 687,1"/>
        <filter val="1 735,1"/>
        <filter val="1 746,4"/>
        <filter val="1 757,3"/>
        <filter val="1 780,2"/>
        <filter val="1 851,3"/>
        <filter val="1 885,4"/>
        <filter val="1 913,9"/>
        <filter val="1 922 889,87691"/>
        <filter val="1 942,7"/>
        <filter val="1,0"/>
        <filter val="1,4"/>
        <filter val="1,8"/>
        <filter val="10 338,70006"/>
        <filter val="10 397,3"/>
        <filter val="10 475,0"/>
        <filter val="10 535,7"/>
        <filter val="10 678,3"/>
        <filter val="10 988,4"/>
        <filter val="10,0"/>
        <filter val="10,5"/>
        <filter val="10,6"/>
        <filter val="100,0"/>
        <filter val="102,0"/>
        <filter val="103 152,9"/>
        <filter val="104,2"/>
        <filter val="105 741,0"/>
        <filter val="105 891,0"/>
        <filter val="105,0"/>
        <filter val="105,5"/>
        <filter val="106,4"/>
        <filter val="106,8"/>
        <filter val="107,0"/>
        <filter val="107,1"/>
        <filter val="11 345,7"/>
        <filter val="11 361,8"/>
        <filter val="11 577,0"/>
        <filter val="11 601,6"/>
        <filter val="11 620,7"/>
        <filter val="11 745,7"/>
        <filter val="11,0"/>
        <filter val="11,7"/>
        <filter val="11,8"/>
        <filter val="110,0"/>
        <filter val="115 812,5"/>
        <filter val="117,2"/>
        <filter val="117,9"/>
        <filter val="12 262,4"/>
        <filter val="12 444,1"/>
        <filter val="12 470,1"/>
        <filter val="12 655,7"/>
        <filter val="12 699,9"/>
        <filter val="12 809,2"/>
        <filter val="12 912,2"/>
        <filter val="12,0"/>
        <filter val="120,0"/>
        <filter val="120,2"/>
        <filter val="121,0"/>
        <filter val="123 174,5"/>
        <filter val="123,1"/>
        <filter val="123,7"/>
        <filter val="124,3"/>
        <filter val="126,0"/>
        <filter val="13 271,3"/>
        <filter val="13 398,7"/>
        <filter val="13 630,5"/>
        <filter val="13 959,7"/>
        <filter val="13,0"/>
        <filter val="13,1"/>
        <filter val="130 123,27924"/>
        <filter val="130,0"/>
        <filter val="130,5"/>
        <filter val="132,3"/>
        <filter val="133,4"/>
        <filter val="139,9"/>
        <filter val="14,0"/>
        <filter val="14,2"/>
        <filter val="14,4"/>
        <filter val="14,5"/>
        <filter val="14,9"/>
        <filter val="142,8"/>
        <filter val="143,1"/>
        <filter val="146 272,5"/>
        <filter val="148,2"/>
        <filter val="148,5"/>
        <filter val="15 140,6"/>
        <filter val="15 241,7"/>
        <filter val="15 290,2"/>
        <filter val="15 314,2"/>
        <filter val="15 475,2"/>
        <filter val="15,0"/>
        <filter val="15,1"/>
        <filter val="150,0"/>
        <filter val="150,6"/>
        <filter val="152 629,4"/>
        <filter val="153,5"/>
        <filter val="155 055,8"/>
        <filter val="155,0"/>
        <filter val="158,1"/>
        <filter val="16 634,9"/>
        <filter val="16 937,0"/>
        <filter val="160,0"/>
        <filter val="161,0"/>
        <filter val="161,3"/>
        <filter val="161,4"/>
        <filter val="163,2"/>
        <filter val="164 889,3"/>
        <filter val="166,0"/>
        <filter val="17 360,5"/>
        <filter val="17 509,6"/>
        <filter val="17 517,6"/>
        <filter val="17 541,4"/>
        <filter val="17 962,5"/>
        <filter val="17,1"/>
        <filter val="17,3"/>
        <filter val="170,3"/>
        <filter val="172,6"/>
        <filter val="176,2"/>
        <filter val="176,9"/>
        <filter val="18 360,7"/>
        <filter val="18,0"/>
        <filter val="180,0"/>
        <filter val="180,6"/>
        <filter val="180,7"/>
        <filter val="181,8"/>
        <filter val="185,0"/>
        <filter val="185,8"/>
        <filter val="187,1"/>
        <filter val="19 587,1"/>
        <filter val="19 753,2"/>
        <filter val="19 847,9"/>
        <filter val="19 903,4"/>
        <filter val="19,0"/>
        <filter val="19,3"/>
        <filter val="19,4"/>
        <filter val="19,9"/>
        <filter val="190,8"/>
        <filter val="191 952,4"/>
        <filter val="191,5"/>
        <filter val="195,0"/>
        <filter val="195,3"/>
        <filter val="197,1"/>
        <filter val="199,5"/>
        <filter val="2 000,0"/>
        <filter val="2 002,8"/>
        <filter val="2 022,9"/>
        <filter val="2 118,3"/>
        <filter val="2 173,4"/>
        <filter val="2 196,7"/>
        <filter val="2 197,4"/>
        <filter val="2 211,6"/>
        <filter val="2 215 807,57691"/>
        <filter val="2 219 807,6"/>
        <filter val="2 251,4"/>
        <filter val="2 251,5"/>
        <filter val="2 300,5"/>
        <filter val="2 302,1"/>
        <filter val="2 306,5"/>
        <filter val="2 311,4"/>
        <filter val="2 345,1"/>
        <filter val="2 383,2"/>
        <filter val="2 426,4"/>
        <filter val="2 474,9"/>
        <filter val="2 513,2"/>
        <filter val="2 515,8"/>
        <filter val="2 634,0"/>
        <filter val="2 659,1"/>
        <filter val="2 695,4"/>
        <filter val="2 775,9"/>
        <filter val="2 800,0"/>
        <filter val="2 834,3"/>
        <filter val="2 878,3"/>
        <filter val="2 921,6"/>
        <filter val="2 940,0"/>
        <filter val="2 944,9"/>
        <filter val="2 968,9"/>
        <filter val="2,8"/>
        <filter val="20 530,8"/>
        <filter val="20,0"/>
        <filter val="20,4"/>
        <filter val="20,6"/>
        <filter val="20,8"/>
        <filter val="200,0"/>
        <filter val="201,6"/>
        <filter val="202,3"/>
        <filter val="202,5"/>
        <filter val="204,1"/>
        <filter val="205,5"/>
        <filter val="207,2"/>
        <filter val="21 149,5"/>
        <filter val="21 262,4"/>
        <filter val="21 555,9"/>
        <filter val="21 560,9"/>
        <filter val="21 715,8"/>
        <filter val="21 717,1"/>
        <filter val="21,2"/>
        <filter val="210,0"/>
        <filter val="212,8"/>
        <filter val="213,8"/>
        <filter val="219 551,7"/>
        <filter val="219,1"/>
        <filter val="22 154,1"/>
        <filter val="22 712,4"/>
        <filter val="22,0"/>
        <filter val="22,2"/>
        <filter val="223 145,4"/>
        <filter val="228,6"/>
        <filter val="23 366,5"/>
        <filter val="23 381,7"/>
        <filter val="23 400,1"/>
        <filter val="23 544,4"/>
        <filter val="23,5"/>
        <filter val="232,4"/>
        <filter val="232,8"/>
        <filter val="233 589,1"/>
        <filter val="234,3"/>
        <filter val="235 409,5"/>
        <filter val="236,2"/>
        <filter val="237,6"/>
        <filter val="238,2"/>
        <filter val="24,0"/>
        <filter val="240,0"/>
        <filter val="240,3"/>
        <filter val="244,0"/>
        <filter val="247,5"/>
        <filter val="247,8"/>
        <filter val="248,8"/>
        <filter val="250,0"/>
        <filter val="251,0"/>
        <filter val="253,2"/>
        <filter val="255 360,0"/>
        <filter val="255,0"/>
        <filter val="255,2"/>
        <filter val="259,3"/>
        <filter val="26 987,4"/>
        <filter val="26,0"/>
        <filter val="26,6"/>
        <filter val="26,9"/>
        <filter val="263 188,5"/>
        <filter val="267,5"/>
        <filter val="267,7"/>
        <filter val="27,1"/>
        <filter val="27,2"/>
        <filter val="27,8"/>
        <filter val="270,8"/>
        <filter val="273,2"/>
        <filter val="274,0"/>
        <filter val="274,2"/>
        <filter val="275,0"/>
        <filter val="279,3"/>
        <filter val="28 688,9"/>
        <filter val="28,1"/>
        <filter val="280,0"/>
        <filter val="280,1"/>
        <filter val="289,8"/>
        <filter val="29 719,4"/>
        <filter val="29 757,2"/>
        <filter val="29,2"/>
        <filter val="29,9"/>
        <filter val="290,3"/>
        <filter val="290,6"/>
        <filter val="293,2"/>
        <filter val="294,5"/>
        <filter val="296 917,70000"/>
        <filter val="297,1"/>
        <filter val="3 000,0"/>
        <filter val="3 016,0"/>
        <filter val="3 016,7"/>
        <filter val="3 060,2"/>
        <filter val="3 106,9"/>
        <filter val="3 188,6"/>
        <filter val="3 254,7"/>
        <filter val="3 305,3"/>
        <filter val="3 322,3"/>
        <filter val="3 409,8"/>
        <filter val="3 421,9"/>
        <filter val="3 545,9"/>
        <filter val="3 553,5"/>
        <filter val="3 573,5"/>
        <filter val="3 576,1"/>
        <filter val="3 593,7"/>
        <filter val="3 593,8"/>
        <filter val="3 602,6"/>
        <filter val="3 702,8"/>
        <filter val="3 753,2"/>
        <filter val="3 813,0"/>
        <filter val="3 832,5"/>
        <filter val="3 845,4"/>
        <filter val="3 864,0"/>
        <filter val="3 891,0"/>
        <filter val="3 905,9"/>
        <filter val="3,0"/>
        <filter val="3,1"/>
        <filter val="3,5"/>
        <filter val="30,0"/>
        <filter val="30,7"/>
        <filter val="300,0"/>
        <filter val="304,0"/>
        <filter val="31 059,8"/>
        <filter val="31 525,0"/>
        <filter val="31,3"/>
        <filter val="312,4"/>
        <filter val="315,0"/>
        <filter val="315,1"/>
        <filter val="320,0"/>
        <filter val="323,9"/>
        <filter val="326 834,0"/>
        <filter val="327,5"/>
        <filter val="329,0"/>
        <filter val="33 458,1"/>
        <filter val="33,2"/>
        <filter val="330,0"/>
        <filter val="335,4"/>
        <filter val="338,0"/>
        <filter val="34 050,4"/>
        <filter val="34 170,5"/>
        <filter val="34,4"/>
        <filter val="341,2"/>
        <filter val="346 963,0"/>
        <filter val="35 795,3"/>
        <filter val="35,0"/>
        <filter val="35,6"/>
        <filter val="350,0"/>
        <filter val="351,5"/>
        <filter val="353,0"/>
        <filter val="354 068,7"/>
        <filter val="354,5"/>
        <filter val="36,6"/>
        <filter val="36,7"/>
        <filter val="360,0"/>
        <filter val="369,5"/>
        <filter val="37 978,4"/>
        <filter val="37,3"/>
        <filter val="38 099,96181"/>
        <filter val="38,0"/>
        <filter val="38,7"/>
        <filter val="380,8"/>
        <filter val="383,3"/>
        <filter val="385,4"/>
        <filter val="388,0"/>
        <filter val="39 112,1"/>
        <filter val="39,1"/>
        <filter val="39,2"/>
        <filter val="398,0"/>
        <filter val="398,5"/>
        <filter val="4 000,0"/>
        <filter val="-4 000,00000"/>
        <filter val="4 007,8"/>
        <filter val="4 038,2"/>
        <filter val="4 057,4"/>
        <filter val="4 083,1"/>
        <filter val="4 090,2"/>
        <filter val="4 096,6"/>
        <filter val="4 102,7"/>
        <filter val="4 297,8"/>
        <filter val="4 330,7"/>
        <filter val="4 343,2"/>
        <filter val="4 401,0"/>
        <filter val="4 469,2"/>
        <filter val="4 556,4"/>
        <filter val="4 596,3"/>
        <filter val="4 597,1"/>
        <filter val="4 639,8"/>
        <filter val="4 644,5"/>
        <filter val="4 703,1"/>
        <filter val="4 749,1"/>
        <filter val="4 833,7"/>
        <filter val="4 893,4"/>
        <filter val="4 910,0"/>
        <filter val="4 937,4"/>
        <filter val="4 963,5"/>
        <filter val="4 969,0"/>
        <filter val="4,0"/>
        <filter val="4,2"/>
        <filter val="4,5"/>
        <filter val="4,6"/>
        <filter val="40,0"/>
        <filter val="40,6"/>
        <filter val="400,0"/>
        <filter val="401,0"/>
        <filter val="407,1"/>
        <filter val="41,8"/>
        <filter val="419,4"/>
        <filter val="42 665,3"/>
        <filter val="43 472,5"/>
        <filter val="430,6"/>
        <filter val="439,8"/>
        <filter val="442,1"/>
        <filter val="447,4"/>
        <filter val="45 679,8"/>
        <filter val="45,0"/>
        <filter val="45,8"/>
        <filter val="450,2"/>
        <filter val="46,0"/>
        <filter val="46,7"/>
        <filter val="461,6"/>
        <filter val="465,1"/>
        <filter val="467,0"/>
        <filter val="47 642,0"/>
        <filter val="47 879,6"/>
        <filter val="47,7"/>
        <filter val="47,9"/>
        <filter val="471,5"/>
        <filter val="473,7"/>
        <filter val="48 044,8"/>
        <filter val="48,7"/>
        <filter val="48,9"/>
        <filter val="488,8"/>
        <filter val="489,9"/>
        <filter val="49,0"/>
        <filter val="496,0"/>
        <filter val="5 044,3"/>
        <filter val="5 074,5"/>
        <filter val="5 264,3"/>
        <filter val="5 307,6"/>
        <filter val="5 362,5"/>
        <filter val="5 520,0"/>
        <filter val="5 534,3"/>
        <filter val="5 581,3"/>
        <filter val="5 586,8"/>
        <filter val="5 642,8"/>
        <filter val="5 678,5"/>
        <filter val="5 683,9"/>
        <filter val="5 726,0"/>
        <filter val="5 800,1"/>
        <filter val="5 991,2"/>
        <filter val="5,0"/>
        <filter val="5,1"/>
        <filter val="50 228,5"/>
        <filter val="50 505,1"/>
        <filter val="50,0"/>
        <filter val="50,2"/>
        <filter val="500,0"/>
        <filter val="500,7"/>
        <filter val="505,1"/>
        <filter val="507,2"/>
        <filter val="509,5"/>
        <filter val="51 203,0"/>
        <filter val="51 710,3"/>
        <filter val="51,3"/>
        <filter val="51,4"/>
        <filter val="510,0"/>
        <filter val="510,7"/>
        <filter val="511,6"/>
        <filter val="516,6"/>
        <filter val="518 277,1"/>
        <filter val="52 061,6"/>
        <filter val="525,0"/>
        <filter val="53 034,7"/>
        <filter val="53 628,6"/>
        <filter val="538,2"/>
        <filter val="539,8"/>
        <filter val="54 613,3"/>
        <filter val="540,0"/>
        <filter val="543,0"/>
        <filter val="546,8"/>
        <filter val="55,0"/>
        <filter val="551,1"/>
        <filter val="559,1"/>
        <filter val="56,2"/>
        <filter val="562,3"/>
        <filter val="568,6"/>
        <filter val="57,2"/>
        <filter val="572,1"/>
        <filter val="576,5"/>
        <filter val="580,0"/>
        <filter val="580,8"/>
        <filter val="581,0"/>
        <filter val="586,5"/>
        <filter val="59 356,1"/>
        <filter val="59 416,1"/>
        <filter val="59,5"/>
        <filter val="592,0"/>
        <filter val="598,6"/>
        <filter val="6 020,3"/>
        <filter val="6 025,0"/>
        <filter val="6 274,2"/>
        <filter val="6 299,4"/>
        <filter val="6 308,0"/>
        <filter val="6 433,0"/>
        <filter val="6 451,9"/>
        <filter val="6 574,7"/>
        <filter val="6,0"/>
        <filter val="6,7"/>
        <filter val="6,8"/>
        <filter val="60 144,4"/>
        <filter val="60 579,5"/>
        <filter val="60,0"/>
        <filter val="600,0"/>
        <filter val="601,6"/>
        <filter val="605,8"/>
        <filter val="618,0"/>
        <filter val="619,9"/>
        <filter val="62,0"/>
        <filter val="62,4"/>
        <filter val="620,1"/>
        <filter val="622,2"/>
        <filter val="63,0"/>
        <filter val="63,4"/>
        <filter val="646,4"/>
        <filter val="65,0"/>
        <filter val="65,1"/>
        <filter val="654,7"/>
        <filter val="66,0"/>
        <filter val="66,1"/>
        <filter val="67 780,3"/>
        <filter val="671 003,8"/>
        <filter val="675 094,0"/>
        <filter val="675 313,1"/>
        <filter val="679,8"/>
        <filter val="68 982,4"/>
        <filter val="68,0"/>
        <filter val="68,1"/>
        <filter val="68,7"/>
        <filter val="682,6"/>
        <filter val="69,6"/>
        <filter val="7 038,6"/>
        <filter val="7 132,3"/>
        <filter val="7 762,2"/>
        <filter val="7 950,6"/>
        <filter val="7,4"/>
        <filter val="70 448,0"/>
        <filter val="700,0"/>
        <filter val="708,0"/>
        <filter val="71 221,3"/>
        <filter val="71 474,0"/>
        <filter val="71 890,9"/>
        <filter val="710,8"/>
        <filter val="711,7"/>
        <filter val="72 219,9"/>
        <filter val="72 261,4"/>
        <filter val="72 297,3"/>
        <filter val="725 279,1"/>
        <filter val="73 580,2"/>
        <filter val="73,9"/>
        <filter val="732,6"/>
        <filter val="735,0"/>
        <filter val="735,2"/>
        <filter val="74,5"/>
        <filter val="75 417,0"/>
        <filter val="75,0"/>
        <filter val="75,7"/>
        <filter val="757,6"/>
        <filter val="759,7"/>
        <filter val="76 439,7"/>
        <filter val="76,0"/>
        <filter val="76,1"/>
        <filter val="76,9"/>
        <filter val="760,7"/>
        <filter val="77 137,4"/>
        <filter val="77,0"/>
        <filter val="77,4"/>
        <filter val="771,3"/>
        <filter val="778,2"/>
        <filter val="779,2"/>
        <filter val="78,0"/>
        <filter val="780,0"/>
        <filter val="784,0"/>
        <filter val="799,5"/>
        <filter val="8 039,4"/>
        <filter val="8 375,7"/>
        <filter val="8 438,3"/>
        <filter val="8 457,0"/>
        <filter val="8 593,0"/>
        <filter val="8 805,1"/>
        <filter val="8 986,6"/>
        <filter val="8,1"/>
        <filter val="8,5"/>
        <filter val="8,7"/>
        <filter val="80,0"/>
        <filter val="800,0"/>
        <filter val="806,3"/>
        <filter val="807,8"/>
        <filter val="817,4"/>
        <filter val="82,0"/>
        <filter val="82,2"/>
        <filter val="826,4"/>
        <filter val="842,0"/>
        <filter val="85 336,7"/>
        <filter val="85,0"/>
        <filter val="85,5"/>
        <filter val="850,7"/>
        <filter val="854,5"/>
        <filter val="854,9"/>
        <filter val="857,4"/>
        <filter val="867,9"/>
        <filter val="869,9"/>
        <filter val="87,3"/>
        <filter val="87,8"/>
        <filter val="87,9"/>
        <filter val="879,6"/>
        <filter val="89 670,8"/>
        <filter val="89,5"/>
        <filter val="89,7"/>
        <filter val="894,4"/>
        <filter val="9 405,3"/>
        <filter val="9 435,6"/>
        <filter val="9 639,3"/>
        <filter val="9 855,7"/>
        <filter val="9 956,4"/>
        <filter val="9,2"/>
        <filter val="9,3"/>
        <filter val="9,7"/>
        <filter val="90,0"/>
        <filter val="90,2"/>
        <filter val="900,1"/>
        <filter val="901,0"/>
        <filter val="91 940,9"/>
        <filter val="912,0"/>
        <filter val="92 016,2"/>
        <filter val="92,2"/>
        <filter val="923,5"/>
        <filter val="93,1"/>
        <filter val="933,1"/>
        <filter val="949,0"/>
        <filter val="955,7"/>
        <filter val="96,0"/>
        <filter val="96,8"/>
        <filter val="970,0"/>
        <filter val="974,5"/>
        <filter val="975,2"/>
        <filter val="982,0"/>
        <filter val="983,3"/>
        <filter val="994,8"/>
      </filters>
    </filterColumn>
  </autoFilter>
  <mergeCells count="18">
    <mergeCell ref="A6:H6"/>
    <mergeCell ref="F9:F10"/>
    <mergeCell ref="K9:K10"/>
    <mergeCell ref="H9:H10"/>
    <mergeCell ref="A9:A10"/>
    <mergeCell ref="B9:B10"/>
    <mergeCell ref="C9:C10"/>
    <mergeCell ref="D9:D10"/>
    <mergeCell ref="E9:E10"/>
    <mergeCell ref="I9:I10"/>
    <mergeCell ref="J9:J10"/>
    <mergeCell ref="G9:G10"/>
    <mergeCell ref="U9:U10"/>
    <mergeCell ref="V9:V10"/>
    <mergeCell ref="N9:N10"/>
    <mergeCell ref="L9:L10"/>
    <mergeCell ref="R9:R10"/>
    <mergeCell ref="S9:S10"/>
  </mergeCells>
  <phoneticPr fontId="26" type="noConversion"/>
  <pageMargins left="0.94488188976377963" right="0.39370078740157483" top="0.19685039370078741" bottom="0.31496062992125984" header="0.15748031496062992" footer="0.11811023622047245"/>
  <pageSetup paperSize="9" scale="46" fitToHeight="15" orientation="portrait" r:id="rId1"/>
  <headerFooter alignWithMargins="0"/>
  <rowBreaks count="1" manualBreakCount="1">
    <brk id="23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0B0F0"/>
    <pageSetUpPr fitToPage="1"/>
  </sheetPr>
  <dimension ref="A1:F40"/>
  <sheetViews>
    <sheetView view="pageBreakPreview" topLeftCell="A13" zoomScale="85" zoomScaleNormal="100" zoomScaleSheetLayoutView="85" workbookViewId="0">
      <selection activeCell="D21" sqref="D21"/>
    </sheetView>
  </sheetViews>
  <sheetFormatPr defaultRowHeight="12.75" x14ac:dyDescent="0.2"/>
  <cols>
    <col min="1" max="1" width="27.5703125" style="2" customWidth="1"/>
    <col min="2" max="2" width="62.85546875" style="2" customWidth="1"/>
    <col min="3" max="3" width="14.42578125" style="2" hidden="1" customWidth="1"/>
    <col min="4" max="4" width="14.28515625" style="2" customWidth="1"/>
    <col min="5" max="5" width="13.28515625" style="2" hidden="1" customWidth="1"/>
    <col min="6" max="6" width="24.7109375" style="2" customWidth="1"/>
    <col min="7" max="16384" width="9.140625" style="2"/>
  </cols>
  <sheetData>
    <row r="1" spans="1:5" x14ac:dyDescent="0.2">
      <c r="C1" s="60" t="s">
        <v>213</v>
      </c>
      <c r="D1" s="60" t="s">
        <v>35</v>
      </c>
    </row>
    <row r="2" spans="1:5" ht="14.25" customHeight="1" x14ac:dyDescent="0.2">
      <c r="C2" s="60" t="s">
        <v>179</v>
      </c>
      <c r="D2" s="60"/>
      <c r="E2" s="60" t="s">
        <v>179</v>
      </c>
    </row>
    <row r="3" spans="1:5" ht="15.75" customHeight="1" x14ac:dyDescent="0.2">
      <c r="C3" s="60" t="s">
        <v>1844</v>
      </c>
      <c r="D3" s="60"/>
      <c r="E3" s="60" t="s">
        <v>1844</v>
      </c>
    </row>
    <row r="4" spans="1:5" ht="15.75" customHeight="1" x14ac:dyDescent="0.2">
      <c r="C4" s="60" t="s">
        <v>1845</v>
      </c>
      <c r="D4" s="60"/>
      <c r="E4" s="60" t="s">
        <v>1845</v>
      </c>
    </row>
    <row r="5" spans="1:5" ht="15.75" customHeight="1" x14ac:dyDescent="0.25">
      <c r="C5" s="3"/>
      <c r="D5" s="3"/>
      <c r="E5" s="3"/>
    </row>
    <row r="7" spans="1:5" ht="21" customHeight="1" x14ac:dyDescent="0.25">
      <c r="A7" s="791" t="s">
        <v>1849</v>
      </c>
      <c r="B7" s="791"/>
      <c r="C7" s="791"/>
      <c r="D7" s="791"/>
      <c r="E7" s="791"/>
    </row>
    <row r="8" spans="1:5" ht="15" x14ac:dyDescent="0.25">
      <c r="A8" s="46"/>
      <c r="B8" s="46"/>
    </row>
    <row r="9" spans="1:5" x14ac:dyDescent="0.2">
      <c r="C9" s="160"/>
      <c r="D9" s="160"/>
      <c r="E9" s="160" t="s">
        <v>500</v>
      </c>
    </row>
    <row r="10" spans="1:5" ht="12.75" customHeight="1" x14ac:dyDescent="0.2">
      <c r="A10" s="797" t="s">
        <v>200</v>
      </c>
      <c r="B10" s="794" t="s">
        <v>198</v>
      </c>
      <c r="C10" s="788" t="s">
        <v>1987</v>
      </c>
      <c r="D10" s="788" t="s">
        <v>1980</v>
      </c>
      <c r="E10" s="788" t="s">
        <v>234</v>
      </c>
    </row>
    <row r="11" spans="1:5" x14ac:dyDescent="0.2">
      <c r="A11" s="798"/>
      <c r="B11" s="795"/>
      <c r="C11" s="789"/>
      <c r="D11" s="789"/>
      <c r="E11" s="789"/>
    </row>
    <row r="12" spans="1:5" ht="10.5" customHeight="1" x14ac:dyDescent="0.2">
      <c r="A12" s="799"/>
      <c r="B12" s="796"/>
      <c r="C12" s="790"/>
      <c r="D12" s="790"/>
      <c r="E12" s="790"/>
    </row>
    <row r="13" spans="1:5" ht="32.25" customHeight="1" x14ac:dyDescent="0.2">
      <c r="A13" s="47" t="s">
        <v>954</v>
      </c>
      <c r="B13" s="228" t="s">
        <v>955</v>
      </c>
      <c r="C13" s="234">
        <f>C14+C19+C25</f>
        <v>29946.484929999802</v>
      </c>
      <c r="D13" s="234">
        <f>D14+D19+D25</f>
        <v>29946.484929999337</v>
      </c>
      <c r="E13" s="234">
        <f>E14+E19+E25</f>
        <v>-4.6566128730773926E-10</v>
      </c>
    </row>
    <row r="14" spans="1:5" ht="32.25" hidden="1" customHeight="1" x14ac:dyDescent="0.2">
      <c r="A14" s="47" t="s">
        <v>85</v>
      </c>
      <c r="B14" s="48" t="s">
        <v>86</v>
      </c>
      <c r="C14" s="229">
        <f>C15-C17</f>
        <v>0</v>
      </c>
      <c r="D14" s="50">
        <f>D15-D17</f>
        <v>0</v>
      </c>
      <c r="E14" s="50">
        <f>E15-E17</f>
        <v>0</v>
      </c>
    </row>
    <row r="15" spans="1:5" ht="35.25" hidden="1" customHeight="1" x14ac:dyDescent="0.2">
      <c r="A15" s="47" t="s">
        <v>87</v>
      </c>
      <c r="B15" s="1" t="s">
        <v>88</v>
      </c>
      <c r="C15" s="230">
        <f>C16</f>
        <v>0</v>
      </c>
      <c r="D15" s="49">
        <f>D16</f>
        <v>0</v>
      </c>
      <c r="E15" s="49">
        <f>E16</f>
        <v>0</v>
      </c>
    </row>
    <row r="16" spans="1:5" ht="39" hidden="1" customHeight="1" x14ac:dyDescent="0.2">
      <c r="A16" s="47" t="s">
        <v>89</v>
      </c>
      <c r="B16" s="1" t="s">
        <v>1</v>
      </c>
      <c r="C16" s="230">
        <v>0</v>
      </c>
      <c r="D16" s="49">
        <v>0</v>
      </c>
      <c r="E16" s="49">
        <v>0</v>
      </c>
    </row>
    <row r="17" spans="1:6" ht="31.5" hidden="1" x14ac:dyDescent="0.2">
      <c r="A17" s="47" t="s">
        <v>216</v>
      </c>
      <c r="B17" s="1" t="s">
        <v>217</v>
      </c>
      <c r="C17" s="230">
        <f>C18</f>
        <v>0</v>
      </c>
      <c r="D17" s="49">
        <f>D18</f>
        <v>0</v>
      </c>
      <c r="E17" s="49">
        <f>E18</f>
        <v>0</v>
      </c>
    </row>
    <row r="18" spans="1:6" ht="34.5" hidden="1" customHeight="1" x14ac:dyDescent="0.2">
      <c r="A18" s="47" t="s">
        <v>218</v>
      </c>
      <c r="B18" s="1" t="s">
        <v>274</v>
      </c>
      <c r="C18" s="230">
        <v>0</v>
      </c>
      <c r="D18" s="49">
        <v>0</v>
      </c>
      <c r="E18" s="49">
        <v>0</v>
      </c>
    </row>
    <row r="19" spans="1:6" ht="31.5" x14ac:dyDescent="0.2">
      <c r="A19" s="47" t="s">
        <v>277</v>
      </c>
      <c r="B19" s="48" t="s">
        <v>278</v>
      </c>
      <c r="C19" s="230">
        <f>C20</f>
        <v>-15000</v>
      </c>
      <c r="D19" s="49">
        <f>D20</f>
        <v>-15000</v>
      </c>
      <c r="E19" s="49">
        <f>E20</f>
        <v>0</v>
      </c>
    </row>
    <row r="20" spans="1:6" ht="35.25" customHeight="1" x14ac:dyDescent="0.2">
      <c r="A20" s="47" t="s">
        <v>839</v>
      </c>
      <c r="B20" s="1" t="s">
        <v>807</v>
      </c>
      <c r="C20" s="230">
        <f>C21-C23</f>
        <v>-15000</v>
      </c>
      <c r="D20" s="230">
        <f>D21-D23</f>
        <v>-15000</v>
      </c>
      <c r="E20" s="230">
        <f>E21-E23</f>
        <v>0</v>
      </c>
    </row>
    <row r="21" spans="1:6" ht="47.25" customHeight="1" x14ac:dyDescent="0.2">
      <c r="A21" s="47" t="s">
        <v>840</v>
      </c>
      <c r="B21" s="1" t="s">
        <v>279</v>
      </c>
      <c r="C21" s="230">
        <f>C22</f>
        <v>4000</v>
      </c>
      <c r="D21" s="49">
        <f>D22</f>
        <v>4000</v>
      </c>
      <c r="E21" s="49">
        <f>E22</f>
        <v>0</v>
      </c>
    </row>
    <row r="22" spans="1:6" ht="47.25" customHeight="1" x14ac:dyDescent="0.2">
      <c r="A22" s="47" t="s">
        <v>841</v>
      </c>
      <c r="B22" s="1" t="s">
        <v>101</v>
      </c>
      <c r="C22" s="49">
        <v>4000</v>
      </c>
      <c r="D22" s="49">
        <v>4000</v>
      </c>
      <c r="E22" s="49">
        <f>D22-C22</f>
        <v>0</v>
      </c>
    </row>
    <row r="23" spans="1:6" ht="47.25" customHeight="1" x14ac:dyDescent="0.2">
      <c r="A23" s="47" t="s">
        <v>174</v>
      </c>
      <c r="B23" s="1" t="s">
        <v>260</v>
      </c>
      <c r="C23" s="230">
        <f>C24</f>
        <v>19000</v>
      </c>
      <c r="D23" s="49">
        <f>D24</f>
        <v>19000</v>
      </c>
      <c r="E23" s="49">
        <f>E24</f>
        <v>0</v>
      </c>
    </row>
    <row r="24" spans="1:6" ht="47.25" customHeight="1" x14ac:dyDescent="0.2">
      <c r="A24" s="47" t="s">
        <v>172</v>
      </c>
      <c r="B24" s="1" t="s">
        <v>173</v>
      </c>
      <c r="C24" s="230">
        <f>3000+16000</f>
        <v>19000</v>
      </c>
      <c r="D24" s="230">
        <f>3000+16000</f>
        <v>19000</v>
      </c>
      <c r="E24" s="49">
        <f>D24-C24</f>
        <v>0</v>
      </c>
    </row>
    <row r="25" spans="1:6" ht="31.5" x14ac:dyDescent="0.2">
      <c r="A25" s="47" t="s">
        <v>261</v>
      </c>
      <c r="B25" s="48" t="s">
        <v>262</v>
      </c>
      <c r="C25" s="229">
        <f>C26+C31</f>
        <v>44946.484929999802</v>
      </c>
      <c r="D25" s="50">
        <f>D26+D31</f>
        <v>44946.484929999337</v>
      </c>
      <c r="E25" s="50">
        <f>E26+E31</f>
        <v>-4.6566128730773926E-10</v>
      </c>
    </row>
    <row r="26" spans="1:6" ht="15.75" x14ac:dyDescent="0.2">
      <c r="A26" s="47" t="s">
        <v>263</v>
      </c>
      <c r="B26" s="48" t="s">
        <v>240</v>
      </c>
      <c r="C26" s="230">
        <f t="shared" ref="C26:E28" si="0">C27</f>
        <v>-1907402.2828299999</v>
      </c>
      <c r="D26" s="49">
        <f t="shared" si="0"/>
        <v>-2196857.1065400005</v>
      </c>
      <c r="E26" s="49">
        <f t="shared" si="0"/>
        <v>-289454.82371000061</v>
      </c>
    </row>
    <row r="27" spans="1:6" ht="15.75" x14ac:dyDescent="0.2">
      <c r="A27" s="47" t="s">
        <v>241</v>
      </c>
      <c r="B27" s="1" t="s">
        <v>242</v>
      </c>
      <c r="C27" s="230">
        <f t="shared" si="0"/>
        <v>-1907402.2828299999</v>
      </c>
      <c r="D27" s="49">
        <f t="shared" si="0"/>
        <v>-2196857.1065400005</v>
      </c>
      <c r="E27" s="49">
        <f t="shared" si="0"/>
        <v>-289454.82371000061</v>
      </c>
    </row>
    <row r="28" spans="1:6" ht="15.75" x14ac:dyDescent="0.2">
      <c r="A28" s="47" t="s">
        <v>243</v>
      </c>
      <c r="B28" s="1" t="s">
        <v>244</v>
      </c>
      <c r="C28" s="230">
        <f t="shared" si="0"/>
        <v>-1907402.2828299999</v>
      </c>
      <c r="D28" s="49">
        <f t="shared" si="0"/>
        <v>-2196857.1065400005</v>
      </c>
      <c r="E28" s="49">
        <f t="shared" si="0"/>
        <v>-289454.82371000061</v>
      </c>
    </row>
    <row r="29" spans="1:6" ht="34.5" customHeight="1" x14ac:dyDescent="0.2">
      <c r="A29" s="47" t="s">
        <v>245</v>
      </c>
      <c r="B29" s="1" t="s">
        <v>175</v>
      </c>
      <c r="C29" s="231">
        <f>-('прил1 доходы 2024'!C6+'безвоз 2024 пр.2'!D7+C22)</f>
        <v>-1907402.2828299999</v>
      </c>
      <c r="D29" s="51">
        <f>-('безвоз 2024 пр.2'!E7+'прил1 доходы 2024'!D6+D21-'безвоз 2024 пр.2'!E291)</f>
        <v>-2196857.1065400005</v>
      </c>
      <c r="E29" s="51">
        <f>D29-C29</f>
        <v>-289454.82371000061</v>
      </c>
      <c r="F29" s="2">
        <v>-1895361.3110400001</v>
      </c>
    </row>
    <row r="30" spans="1:6" ht="15.75" x14ac:dyDescent="0.2">
      <c r="A30" s="47" t="s">
        <v>246</v>
      </c>
      <c r="B30" s="48" t="s">
        <v>247</v>
      </c>
      <c r="C30" s="230">
        <f t="shared" ref="C30:E31" si="1">C31</f>
        <v>1952348.7677599997</v>
      </c>
      <c r="D30" s="49">
        <f t="shared" si="1"/>
        <v>2241803.5914699999</v>
      </c>
      <c r="E30" s="49">
        <f t="shared" si="1"/>
        <v>289454.82371000014</v>
      </c>
      <c r="F30" s="2">
        <v>1940307.7959700001</v>
      </c>
    </row>
    <row r="31" spans="1:6" ht="15.75" x14ac:dyDescent="0.2">
      <c r="A31" s="47" t="s">
        <v>248</v>
      </c>
      <c r="B31" s="1" t="s">
        <v>249</v>
      </c>
      <c r="C31" s="230">
        <f t="shared" si="1"/>
        <v>1952348.7677599997</v>
      </c>
      <c r="D31" s="49">
        <f t="shared" si="1"/>
        <v>2241803.5914699999</v>
      </c>
      <c r="E31" s="49">
        <f t="shared" si="1"/>
        <v>289454.82371000014</v>
      </c>
    </row>
    <row r="32" spans="1:6" ht="16.5" customHeight="1" x14ac:dyDescent="0.2">
      <c r="A32" s="792" t="s">
        <v>250</v>
      </c>
      <c r="B32" s="793" t="s">
        <v>297</v>
      </c>
      <c r="C32" s="230">
        <f>C34</f>
        <v>1952348.7677599997</v>
      </c>
      <c r="D32" s="49">
        <f>D34</f>
        <v>2241803.5914699999</v>
      </c>
      <c r="E32" s="49">
        <f>E34</f>
        <v>289454.82371000014</v>
      </c>
    </row>
    <row r="33" spans="1:5" hidden="1" x14ac:dyDescent="0.2">
      <c r="A33" s="792"/>
      <c r="B33" s="793"/>
      <c r="C33" s="230">
        <v>402070.5</v>
      </c>
      <c r="D33" s="49">
        <v>402070.5</v>
      </c>
      <c r="E33" s="49">
        <v>402070.5</v>
      </c>
    </row>
    <row r="34" spans="1:5" ht="31.5" x14ac:dyDescent="0.2">
      <c r="A34" s="52" t="s">
        <v>298</v>
      </c>
      <c r="B34" s="53" t="s">
        <v>176</v>
      </c>
      <c r="C34" s="231">
        <f>'Функц. пр.3'!C69+C24</f>
        <v>1952348.7677599997</v>
      </c>
      <c r="D34" s="51">
        <f>'Функц. пр.3'!E69+ист.прил5!D24-'безвоз 2024 пр.2'!E291</f>
        <v>2241803.5914699999</v>
      </c>
      <c r="E34" s="51">
        <f>D34-C34</f>
        <v>289454.82371000014</v>
      </c>
    </row>
    <row r="35" spans="1:5" ht="31.5" hidden="1" x14ac:dyDescent="0.2">
      <c r="A35" s="54" t="s">
        <v>299</v>
      </c>
      <c r="B35" s="48" t="s">
        <v>32</v>
      </c>
      <c r="C35" s="232">
        <f t="shared" ref="C35:E36" si="2">C36</f>
        <v>0</v>
      </c>
      <c r="D35" s="55">
        <f t="shared" si="2"/>
        <v>0</v>
      </c>
      <c r="E35" s="55">
        <f t="shared" si="2"/>
        <v>0</v>
      </c>
    </row>
    <row r="36" spans="1:5" ht="31.5" hidden="1" x14ac:dyDescent="0.2">
      <c r="A36" s="47" t="s">
        <v>631</v>
      </c>
      <c r="B36" s="1" t="s">
        <v>169</v>
      </c>
      <c r="C36" s="233">
        <f t="shared" si="2"/>
        <v>0</v>
      </c>
      <c r="D36" s="56">
        <f t="shared" si="2"/>
        <v>0</v>
      </c>
      <c r="E36" s="56">
        <f t="shared" si="2"/>
        <v>0</v>
      </c>
    </row>
    <row r="37" spans="1:5" ht="31.5" hidden="1" x14ac:dyDescent="0.2">
      <c r="A37" s="47" t="s">
        <v>685</v>
      </c>
      <c r="B37" s="1" t="s">
        <v>686</v>
      </c>
      <c r="C37" s="233">
        <f>C39</f>
        <v>0</v>
      </c>
      <c r="D37" s="56">
        <f>D39</f>
        <v>0</v>
      </c>
      <c r="E37" s="56">
        <f>E39</f>
        <v>0</v>
      </c>
    </row>
    <row r="38" spans="1:5" ht="47.25" hidden="1" x14ac:dyDescent="0.2">
      <c r="A38" s="47" t="s">
        <v>687</v>
      </c>
      <c r="B38" s="1" t="s">
        <v>688</v>
      </c>
      <c r="C38" s="233">
        <v>0</v>
      </c>
      <c r="D38" s="56">
        <v>0</v>
      </c>
      <c r="E38" s="56">
        <v>0</v>
      </c>
    </row>
    <row r="39" spans="1:5" ht="47.25" hidden="1" x14ac:dyDescent="0.2">
      <c r="A39" s="47" t="s">
        <v>689</v>
      </c>
      <c r="B39" s="1" t="s">
        <v>690</v>
      </c>
      <c r="C39" s="233">
        <v>0</v>
      </c>
      <c r="D39" s="56">
        <v>0</v>
      </c>
      <c r="E39" s="56">
        <v>0</v>
      </c>
    </row>
    <row r="40" spans="1:5" ht="15" hidden="1" x14ac:dyDescent="0.2">
      <c r="A40" s="57"/>
      <c r="B40" s="58" t="s">
        <v>276</v>
      </c>
      <c r="C40" s="235">
        <f>C25+C14+C19+C35</f>
        <v>29946.484929999802</v>
      </c>
      <c r="D40" s="59">
        <f>D25+D14+D19+D35</f>
        <v>29946.484929999337</v>
      </c>
      <c r="E40" s="59">
        <f>E25+E14+E19+E35</f>
        <v>-4.6566128730773926E-10</v>
      </c>
    </row>
  </sheetData>
  <mergeCells count="8">
    <mergeCell ref="E10:E12"/>
    <mergeCell ref="A7:E7"/>
    <mergeCell ref="A32:A33"/>
    <mergeCell ref="B32:B33"/>
    <mergeCell ref="B10:B12"/>
    <mergeCell ref="A10:A12"/>
    <mergeCell ref="D10:D12"/>
    <mergeCell ref="C10:C12"/>
  </mergeCells>
  <phoneticPr fontId="1" type="noConversion"/>
  <pageMargins left="0.99" right="0.24" top="0.43307086614173229" bottom="0.3149606299212598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  <pageSetUpPr fitToPage="1"/>
  </sheetPr>
  <dimension ref="A1:V918"/>
  <sheetViews>
    <sheetView view="pageBreakPreview" topLeftCell="A368" zoomScale="75" zoomScaleNormal="85" zoomScaleSheetLayoutView="75" workbookViewId="0">
      <selection activeCell="J406" sqref="J406"/>
    </sheetView>
  </sheetViews>
  <sheetFormatPr defaultRowHeight="15" x14ac:dyDescent="0.25"/>
  <cols>
    <col min="1" max="1" width="111" style="453" customWidth="1"/>
    <col min="2" max="2" width="7.140625" style="454" hidden="1" customWidth="1"/>
    <col min="3" max="3" width="4.7109375" style="454" hidden="1" customWidth="1"/>
    <col min="4" max="4" width="5.140625" style="454" hidden="1" customWidth="1"/>
    <col min="5" max="5" width="13.85546875" style="454" customWidth="1"/>
    <col min="6" max="6" width="6.5703125" style="454" hidden="1" customWidth="1"/>
    <col min="7" max="7" width="7" style="456" customWidth="1"/>
    <col min="8" max="8" width="17.140625" style="456" hidden="1" customWidth="1"/>
    <col min="9" max="9" width="19.28515625" style="456" hidden="1" customWidth="1"/>
    <col min="10" max="10" width="17" style="456" customWidth="1"/>
    <col min="11" max="11" width="16" style="456" customWidth="1"/>
    <col min="12" max="12" width="12.85546875" style="456" hidden="1" customWidth="1"/>
    <col min="13" max="13" width="11.28515625" style="456" hidden="1" customWidth="1"/>
    <col min="14" max="14" width="18.28515625" style="2" customWidth="1"/>
    <col min="15" max="15" width="12.140625" style="2" customWidth="1"/>
    <col min="16" max="16" width="13" style="2" customWidth="1"/>
    <col min="17" max="17" width="12" style="2" customWidth="1"/>
    <col min="18" max="18" width="11.5703125" style="2" customWidth="1"/>
    <col min="19" max="19" width="12.7109375" style="2" customWidth="1"/>
    <col min="20" max="20" width="14.140625" style="2" customWidth="1"/>
    <col min="21" max="16384" width="9.140625" style="2"/>
  </cols>
  <sheetData>
    <row r="1" spans="1:20" x14ac:dyDescent="0.25">
      <c r="G1" s="455"/>
      <c r="I1" s="457"/>
      <c r="K1" s="457" t="s">
        <v>637</v>
      </c>
    </row>
    <row r="2" spans="1:20" hidden="1" x14ac:dyDescent="0.25">
      <c r="G2" s="455"/>
      <c r="I2" s="457"/>
      <c r="K2" s="457"/>
      <c r="M2" s="457" t="s">
        <v>179</v>
      </c>
    </row>
    <row r="3" spans="1:20" ht="15" hidden="1" customHeight="1" x14ac:dyDescent="0.25">
      <c r="E3" s="458"/>
      <c r="G3" s="455"/>
      <c r="I3" s="457"/>
      <c r="K3" s="457"/>
      <c r="M3" s="457" t="s">
        <v>1844</v>
      </c>
    </row>
    <row r="4" spans="1:20" hidden="1" x14ac:dyDescent="0.25">
      <c r="E4" s="458"/>
      <c r="G4" s="455"/>
      <c r="I4" s="457"/>
      <c r="K4" s="457"/>
      <c r="M4" s="457" t="s">
        <v>1845</v>
      </c>
    </row>
    <row r="5" spans="1:20" x14ac:dyDescent="0.25">
      <c r="E5" s="458"/>
    </row>
    <row r="6" spans="1:20" ht="14.25" x14ac:dyDescent="0.2">
      <c r="A6" s="802" t="s">
        <v>1848</v>
      </c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</row>
    <row r="7" spans="1:20" x14ac:dyDescent="0.25">
      <c r="A7" s="459"/>
      <c r="B7" s="460"/>
      <c r="C7" s="460"/>
      <c r="D7" s="460"/>
      <c r="E7" s="460"/>
      <c r="F7" s="460"/>
      <c r="G7" s="461"/>
      <c r="H7" s="461"/>
      <c r="I7" s="461"/>
      <c r="J7" s="461"/>
      <c r="K7" s="461"/>
      <c r="L7" s="461"/>
      <c r="M7" s="461"/>
    </row>
    <row r="8" spans="1:20" x14ac:dyDescent="0.25">
      <c r="A8" s="459"/>
      <c r="B8" s="460"/>
      <c r="C8" s="460"/>
      <c r="D8" s="460"/>
      <c r="E8" s="460"/>
      <c r="F8" s="460"/>
      <c r="G8" s="461"/>
      <c r="H8" s="461"/>
      <c r="I8" s="461"/>
      <c r="J8" s="461"/>
      <c r="K8" s="461"/>
      <c r="L8" s="461"/>
      <c r="M8" s="461" t="s">
        <v>201</v>
      </c>
    </row>
    <row r="9" spans="1:20" ht="12.75" customHeight="1" x14ac:dyDescent="0.2">
      <c r="A9" s="803" t="s">
        <v>198</v>
      </c>
      <c r="B9" s="805" t="s">
        <v>199</v>
      </c>
      <c r="C9" s="805" t="s">
        <v>3</v>
      </c>
      <c r="D9" s="805" t="s">
        <v>4</v>
      </c>
      <c r="E9" s="807" t="s">
        <v>5</v>
      </c>
      <c r="F9" s="805" t="s">
        <v>155</v>
      </c>
      <c r="G9" s="809" t="s">
        <v>199</v>
      </c>
      <c r="H9" s="800" t="s">
        <v>1981</v>
      </c>
      <c r="I9" s="801" t="s">
        <v>170</v>
      </c>
      <c r="J9" s="800" t="s">
        <v>1980</v>
      </c>
      <c r="K9" s="801" t="s">
        <v>170</v>
      </c>
      <c r="L9" s="800" t="s">
        <v>234</v>
      </c>
      <c r="M9" s="801" t="s">
        <v>170</v>
      </c>
    </row>
    <row r="10" spans="1:20" ht="50.25" customHeight="1" x14ac:dyDescent="0.2">
      <c r="A10" s="804"/>
      <c r="B10" s="806"/>
      <c r="C10" s="806"/>
      <c r="D10" s="806"/>
      <c r="E10" s="808"/>
      <c r="F10" s="806"/>
      <c r="G10" s="810"/>
      <c r="H10" s="800"/>
      <c r="I10" s="801"/>
      <c r="J10" s="800"/>
      <c r="K10" s="801"/>
      <c r="L10" s="800"/>
      <c r="M10" s="801"/>
    </row>
    <row r="11" spans="1:20" ht="28.5" x14ac:dyDescent="0.2">
      <c r="A11" s="555" t="s">
        <v>1370</v>
      </c>
      <c r="B11" s="394"/>
      <c r="C11" s="394"/>
      <c r="D11" s="394"/>
      <c r="E11" s="556">
        <v>7000000000</v>
      </c>
      <c r="F11" s="394"/>
      <c r="G11" s="557"/>
      <c r="H11" s="558">
        <f t="shared" ref="H11:M11" si="0">H12+H14+H16+H19+H21</f>
        <v>1000</v>
      </c>
      <c r="I11" s="558">
        <f t="shared" si="0"/>
        <v>0</v>
      </c>
      <c r="J11" s="558">
        <f t="shared" si="0"/>
        <v>1000</v>
      </c>
      <c r="K11" s="558">
        <f t="shared" si="0"/>
        <v>0</v>
      </c>
      <c r="L11" s="558">
        <f t="shared" si="0"/>
        <v>0</v>
      </c>
      <c r="M11" s="558">
        <f t="shared" si="0"/>
        <v>0</v>
      </c>
      <c r="N11" s="549">
        <f>H11-'ведом 2024 пр.4'!G2378</f>
        <v>0</v>
      </c>
      <c r="O11" s="549">
        <f>I11-'ведом 2024 пр.4'!H2378</f>
        <v>0</v>
      </c>
      <c r="P11" s="549">
        <f>J11-'ведом 2024 пр.4'!I2378</f>
        <v>0</v>
      </c>
      <c r="Q11" s="549">
        <f>K11-'ведом 2024 пр.4'!J2378</f>
        <v>0</v>
      </c>
      <c r="R11" s="549">
        <f>L11-'ведом 2024 пр.4'!K2378</f>
        <v>0</v>
      </c>
      <c r="S11" s="39">
        <f>'ведом 2024 пр.4'!L2378-O11</f>
        <v>0</v>
      </c>
      <c r="T11" s="39">
        <f>'ведом 2024 пр.4'!M2378-P11</f>
        <v>0</v>
      </c>
    </row>
    <row r="12" spans="1:20" ht="30" x14ac:dyDescent="0.2">
      <c r="A12" s="432" t="str">
        <f>'ведом 2024 пр.4'!A1290</f>
        <v>Основное мероприятие "Реализация мер пожарной безопасности населенных пунктов, муниципальных учреждений образования, здравоохранения, социальной сферы, культуры и иных объектов с массовым пребыванием людей"</v>
      </c>
      <c r="B12" s="400"/>
      <c r="C12" s="400"/>
      <c r="D12" s="400"/>
      <c r="E12" s="400">
        <f>E13</f>
        <v>7000100000</v>
      </c>
      <c r="F12" s="400"/>
      <c r="G12" s="400"/>
      <c r="H12" s="401">
        <f t="shared" ref="H12:M12" si="1">H13</f>
        <v>82</v>
      </c>
      <c r="I12" s="401">
        <f t="shared" si="1"/>
        <v>0</v>
      </c>
      <c r="J12" s="401">
        <f t="shared" si="1"/>
        <v>82</v>
      </c>
      <c r="K12" s="401">
        <f t="shared" si="1"/>
        <v>0</v>
      </c>
      <c r="L12" s="401">
        <f t="shared" si="1"/>
        <v>0</v>
      </c>
      <c r="M12" s="401">
        <f t="shared" si="1"/>
        <v>0</v>
      </c>
    </row>
    <row r="13" spans="1:20" x14ac:dyDescent="0.2">
      <c r="A13" s="408" t="s">
        <v>73</v>
      </c>
      <c r="B13" s="400"/>
      <c r="C13" s="400"/>
      <c r="D13" s="400"/>
      <c r="E13" s="400">
        <f>'ведом 2024 пр.4'!E1290</f>
        <v>7000100000</v>
      </c>
      <c r="F13" s="400"/>
      <c r="G13" s="400">
        <v>959</v>
      </c>
      <c r="H13" s="401">
        <f>'ведом 2024 пр.4'!G1290</f>
        <v>82</v>
      </c>
      <c r="I13" s="401">
        <f>'ведом 2024 пр.4'!H1290</f>
        <v>0</v>
      </c>
      <c r="J13" s="401">
        <f>'ведом 2024 пр.4'!I1290</f>
        <v>82</v>
      </c>
      <c r="K13" s="401">
        <f>'ведом 2024 пр.4'!J1290</f>
        <v>0</v>
      </c>
      <c r="L13" s="401">
        <f>'ведом 2024 пр.4'!K1290</f>
        <v>0</v>
      </c>
      <c r="M13" s="401">
        <f>'ведом 2024 пр.4'!L1290</f>
        <v>0</v>
      </c>
    </row>
    <row r="14" spans="1:20" ht="30" x14ac:dyDescent="0.2">
      <c r="A14" s="432" t="str">
        <f>'ведом 2024 пр.4'!A1293</f>
        <v>Основное мероприятие "Оборудование автоматическими пожарными извещателями мест проживания, многодетных семей, а также семей, находящихся в социально-опасном положении"</v>
      </c>
      <c r="B14" s="400"/>
      <c r="C14" s="400"/>
      <c r="D14" s="400"/>
      <c r="E14" s="400">
        <f>E15</f>
        <v>7000200000</v>
      </c>
      <c r="F14" s="400"/>
      <c r="G14" s="400"/>
      <c r="H14" s="401">
        <f t="shared" ref="H14:M14" si="2">H15</f>
        <v>27.231999999999999</v>
      </c>
      <c r="I14" s="401">
        <f t="shared" si="2"/>
        <v>0</v>
      </c>
      <c r="J14" s="401">
        <f t="shared" si="2"/>
        <v>27.231999999999999</v>
      </c>
      <c r="K14" s="401">
        <f t="shared" si="2"/>
        <v>0</v>
      </c>
      <c r="L14" s="401">
        <f t="shared" si="2"/>
        <v>0</v>
      </c>
      <c r="M14" s="401">
        <f t="shared" si="2"/>
        <v>0</v>
      </c>
    </row>
    <row r="15" spans="1:20" x14ac:dyDescent="0.2">
      <c r="A15" s="408" t="s">
        <v>73</v>
      </c>
      <c r="B15" s="400"/>
      <c r="C15" s="400"/>
      <c r="D15" s="400"/>
      <c r="E15" s="400">
        <f>'ведом 2024 пр.4'!E1293</f>
        <v>7000200000</v>
      </c>
      <c r="F15" s="400"/>
      <c r="G15" s="400">
        <v>959</v>
      </c>
      <c r="H15" s="401">
        <f>'ведом 2024 пр.4'!G1293</f>
        <v>27.231999999999999</v>
      </c>
      <c r="I15" s="401">
        <f>'ведом 2024 пр.4'!H1293</f>
        <v>0</v>
      </c>
      <c r="J15" s="401">
        <f>'ведом 2024 пр.4'!I1293</f>
        <v>27.231999999999999</v>
      </c>
      <c r="K15" s="401">
        <f>'ведом 2024 пр.4'!J1293</f>
        <v>0</v>
      </c>
      <c r="L15" s="401">
        <f>'ведом 2024 пр.4'!K1293</f>
        <v>0</v>
      </c>
      <c r="M15" s="401">
        <f>'ведом 2024 пр.4'!L1293</f>
        <v>0</v>
      </c>
    </row>
    <row r="16" spans="1:20" ht="30" x14ac:dyDescent="0.2">
      <c r="A16" s="432" t="str">
        <f>'ведом 2024 пр.4'!A1296</f>
        <v>Основное мероприятие "Реализация превентивных мер по обеспечению пожарной безопасности населенных пунктов, дачных и садоводческих товариществ, объектов экономики, подверженных угрозе перехода лесных пожаров"</v>
      </c>
      <c r="B16" s="400"/>
      <c r="C16" s="400"/>
      <c r="D16" s="400"/>
      <c r="E16" s="400">
        <f>E18</f>
        <v>7000300000</v>
      </c>
      <c r="F16" s="400"/>
      <c r="G16" s="400"/>
      <c r="H16" s="401">
        <f t="shared" ref="H16:M16" si="3">H18+H17</f>
        <v>759.73800000000006</v>
      </c>
      <c r="I16" s="401">
        <f t="shared" si="3"/>
        <v>0</v>
      </c>
      <c r="J16" s="401">
        <f t="shared" si="3"/>
        <v>759.73800000000006</v>
      </c>
      <c r="K16" s="401">
        <f t="shared" si="3"/>
        <v>0</v>
      </c>
      <c r="L16" s="401">
        <f t="shared" si="3"/>
        <v>0</v>
      </c>
      <c r="M16" s="401">
        <f t="shared" si="3"/>
        <v>0</v>
      </c>
    </row>
    <row r="17" spans="1:17" x14ac:dyDescent="0.2">
      <c r="A17" s="408" t="s">
        <v>74</v>
      </c>
      <c r="B17" s="400"/>
      <c r="C17" s="400"/>
      <c r="D17" s="400"/>
      <c r="E17" s="400">
        <v>7000300000</v>
      </c>
      <c r="F17" s="400"/>
      <c r="G17" s="400">
        <v>958</v>
      </c>
      <c r="H17" s="401">
        <f>'ведом 2024 пр.4'!G1099</f>
        <v>759.73800000000006</v>
      </c>
      <c r="I17" s="401">
        <f>'ведом 2024 пр.4'!H1099</f>
        <v>0</v>
      </c>
      <c r="J17" s="401">
        <f>'ведом 2024 пр.4'!I1099</f>
        <v>759.73800000000006</v>
      </c>
      <c r="K17" s="401">
        <f>'ведом 2024 пр.4'!J1099</f>
        <v>0</v>
      </c>
      <c r="L17" s="401">
        <f>'ведом 2024 пр.4'!K1099</f>
        <v>0</v>
      </c>
      <c r="M17" s="401">
        <f>'ведом 2024 пр.4'!L1099</f>
        <v>0</v>
      </c>
    </row>
    <row r="18" spans="1:17" hidden="1" x14ac:dyDescent="0.2">
      <c r="A18" s="408" t="s">
        <v>73</v>
      </c>
      <c r="B18" s="400"/>
      <c r="C18" s="400"/>
      <c r="D18" s="400"/>
      <c r="E18" s="400">
        <f>'ведом 2024 пр.4'!E1296</f>
        <v>7000300000</v>
      </c>
      <c r="F18" s="400"/>
      <c r="G18" s="400">
        <v>959</v>
      </c>
      <c r="H18" s="401">
        <f>'ведом 2024 пр.4'!G1296</f>
        <v>0</v>
      </c>
      <c r="I18" s="401">
        <f>'ведом 2024 пр.4'!H1296</f>
        <v>0</v>
      </c>
      <c r="J18" s="401">
        <f>'ведом 2024 пр.4'!I1296</f>
        <v>0</v>
      </c>
      <c r="K18" s="401">
        <f>'ведом 2024 пр.4'!J1296</f>
        <v>0</v>
      </c>
      <c r="L18" s="401">
        <f>'ведом 2024 пр.4'!K1296</f>
        <v>0</v>
      </c>
      <c r="M18" s="401">
        <f>'ведом 2024 пр.4'!L1296</f>
        <v>0</v>
      </c>
    </row>
    <row r="19" spans="1:17" x14ac:dyDescent="0.2">
      <c r="A19" s="432" t="str">
        <f>'ведом 2024 пр.4'!A1299</f>
        <v>Основное мероприятие "Организация деятельности подразделений добровольной пожарной охраны"</v>
      </c>
      <c r="B19" s="400"/>
      <c r="C19" s="400"/>
      <c r="D19" s="400"/>
      <c r="E19" s="400">
        <f>E20</f>
        <v>7000400000</v>
      </c>
      <c r="F19" s="400"/>
      <c r="G19" s="400"/>
      <c r="H19" s="401">
        <f t="shared" ref="H19:M19" si="4">H20</f>
        <v>121.03</v>
      </c>
      <c r="I19" s="401">
        <f t="shared" si="4"/>
        <v>0</v>
      </c>
      <c r="J19" s="401">
        <f t="shared" si="4"/>
        <v>121.03</v>
      </c>
      <c r="K19" s="401">
        <f t="shared" si="4"/>
        <v>0</v>
      </c>
      <c r="L19" s="401">
        <f t="shared" si="4"/>
        <v>0</v>
      </c>
      <c r="M19" s="401">
        <f t="shared" si="4"/>
        <v>0</v>
      </c>
    </row>
    <row r="20" spans="1:17" x14ac:dyDescent="0.2">
      <c r="A20" s="408" t="s">
        <v>73</v>
      </c>
      <c r="B20" s="400"/>
      <c r="C20" s="400"/>
      <c r="D20" s="400"/>
      <c r="E20" s="400">
        <f>'ведом 2024 пр.4'!E1299</f>
        <v>7000400000</v>
      </c>
      <c r="F20" s="400"/>
      <c r="G20" s="400">
        <v>959</v>
      </c>
      <c r="H20" s="401">
        <f>'ведом 2024 пр.4'!G1299</f>
        <v>121.03</v>
      </c>
      <c r="I20" s="401">
        <f>'ведом 2024 пр.4'!H1299</f>
        <v>0</v>
      </c>
      <c r="J20" s="401">
        <f>'ведом 2024 пр.4'!I1299</f>
        <v>121.03</v>
      </c>
      <c r="K20" s="401">
        <f>'ведом 2024 пр.4'!J1299</f>
        <v>0</v>
      </c>
      <c r="L20" s="401">
        <f>'ведом 2024 пр.4'!K1299</f>
        <v>0</v>
      </c>
      <c r="M20" s="401">
        <f>'ведом 2024 пр.4'!L1299</f>
        <v>0</v>
      </c>
    </row>
    <row r="21" spans="1:17" x14ac:dyDescent="0.2">
      <c r="A21" s="432" t="str">
        <f>'ведом 2024 пр.4'!A1303</f>
        <v>Основное мероприятие "Противопожарная пропаганда"</v>
      </c>
      <c r="B21" s="400"/>
      <c r="C21" s="400"/>
      <c r="D21" s="400"/>
      <c r="E21" s="400">
        <f>E22</f>
        <v>7000500000</v>
      </c>
      <c r="F21" s="400"/>
      <c r="G21" s="400"/>
      <c r="H21" s="401">
        <f t="shared" ref="H21:M21" si="5">H22</f>
        <v>10</v>
      </c>
      <c r="I21" s="401">
        <f t="shared" si="5"/>
        <v>0</v>
      </c>
      <c r="J21" s="401">
        <f t="shared" si="5"/>
        <v>10</v>
      </c>
      <c r="K21" s="401">
        <f t="shared" si="5"/>
        <v>0</v>
      </c>
      <c r="L21" s="401">
        <f t="shared" si="5"/>
        <v>0</v>
      </c>
      <c r="M21" s="401">
        <f t="shared" si="5"/>
        <v>0</v>
      </c>
    </row>
    <row r="22" spans="1:17" x14ac:dyDescent="0.2">
      <c r="A22" s="408" t="s">
        <v>73</v>
      </c>
      <c r="B22" s="400"/>
      <c r="C22" s="400"/>
      <c r="D22" s="400"/>
      <c r="E22" s="400">
        <f>'ведом 2024 пр.4'!E1303</f>
        <v>7000500000</v>
      </c>
      <c r="F22" s="400"/>
      <c r="G22" s="400">
        <v>959</v>
      </c>
      <c r="H22" s="401">
        <f>'ведом 2024 пр.4'!G1303</f>
        <v>10</v>
      </c>
      <c r="I22" s="401">
        <f>'ведом 2024 пр.4'!H1303</f>
        <v>0</v>
      </c>
      <c r="J22" s="401">
        <f>'ведом 2024 пр.4'!I1303</f>
        <v>10</v>
      </c>
      <c r="K22" s="401">
        <f>'ведом 2024 пр.4'!J1303</f>
        <v>0</v>
      </c>
      <c r="L22" s="401">
        <f>'ведом 2024 пр.4'!K1303</f>
        <v>0</v>
      </c>
      <c r="M22" s="401">
        <f>'ведом 2024 пр.4'!L1303</f>
        <v>0</v>
      </c>
    </row>
    <row r="23" spans="1:17" ht="28.5" x14ac:dyDescent="0.2">
      <c r="A23" s="555" t="str">
        <f>'ведом 2024 пр.4'!A1306</f>
        <v>Муниципальная программа "Сохранение и развитие родного языка "Турэл хэлэн - тушэг баялигнай" в Закаменском районе на 2022-2025 годы"</v>
      </c>
      <c r="B23" s="556"/>
      <c r="C23" s="556"/>
      <c r="D23" s="556"/>
      <c r="E23" s="556" t="s">
        <v>1505</v>
      </c>
      <c r="F23" s="556"/>
      <c r="G23" s="556"/>
      <c r="H23" s="558">
        <f>H24+H33+H29+H38</f>
        <v>719.8</v>
      </c>
      <c r="I23" s="558">
        <f>I24+I33+I29+I38</f>
        <v>0</v>
      </c>
      <c r="J23" s="558">
        <f>J24+J33+J29+J38</f>
        <v>999.8</v>
      </c>
      <c r="K23" s="558">
        <f>K24+K33+K29+K38</f>
        <v>0</v>
      </c>
      <c r="L23" s="558">
        <f t="shared" ref="L23:L57" si="6">J23-H23</f>
        <v>280</v>
      </c>
      <c r="M23" s="558">
        <f t="shared" ref="M23:M57" si="7">K23-I23</f>
        <v>0</v>
      </c>
      <c r="N23" s="39">
        <f>H23-'ведом 2024 пр.4'!G2379</f>
        <v>0</v>
      </c>
      <c r="O23" s="39">
        <f>I23-'ведом 2024 пр.4'!H2379</f>
        <v>0</v>
      </c>
      <c r="P23" s="39">
        <f>J23-'ведом 2024 пр.4'!I2379</f>
        <v>0</v>
      </c>
      <c r="Q23" s="39">
        <f>K23-'ведом 2024 пр.4'!J2379</f>
        <v>0</v>
      </c>
    </row>
    <row r="24" spans="1:17" x14ac:dyDescent="0.2">
      <c r="A24" s="408" t="str">
        <f>'ведом 2024 пр.4'!A1307</f>
        <v>Основное мероприятие "Создание языковой среды"</v>
      </c>
      <c r="B24" s="400"/>
      <c r="C24" s="400"/>
      <c r="D24" s="400"/>
      <c r="E24" s="400" t="s">
        <v>1506</v>
      </c>
      <c r="F24" s="400"/>
      <c r="G24" s="400"/>
      <c r="H24" s="401">
        <f>H27+H25+H26+H28</f>
        <v>0</v>
      </c>
      <c r="I24" s="401">
        <f>I27+I25+I26+I28</f>
        <v>0</v>
      </c>
      <c r="J24" s="401">
        <f>J27+J25+J26+J28</f>
        <v>180</v>
      </c>
      <c r="K24" s="401">
        <f>K27+K25+K26+K28</f>
        <v>0</v>
      </c>
      <c r="L24" s="401">
        <f t="shared" si="6"/>
        <v>180</v>
      </c>
      <c r="M24" s="401">
        <f t="shared" si="7"/>
        <v>0</v>
      </c>
    </row>
    <row r="25" spans="1:17" ht="31.5" hidden="1" customHeight="1" x14ac:dyDescent="0.2">
      <c r="A25" s="408" t="s">
        <v>72</v>
      </c>
      <c r="B25" s="400"/>
      <c r="C25" s="400"/>
      <c r="D25" s="400"/>
      <c r="E25" s="400" t="s">
        <v>1506</v>
      </c>
      <c r="F25" s="400"/>
      <c r="G25" s="400">
        <v>957</v>
      </c>
      <c r="H25" s="401">
        <f>'ведом 2024 пр.4'!G652+'ведом 2024 пр.4'!G556</f>
        <v>0</v>
      </c>
      <c r="I25" s="401">
        <f>'ведом 2024 пр.4'!H652+'ведом 2024 пр.4'!H556</f>
        <v>0</v>
      </c>
      <c r="J25" s="401">
        <f>'ведом 2024 пр.4'!I652+'ведом 2024 пр.4'!I556</f>
        <v>0</v>
      </c>
      <c r="K25" s="401">
        <f>'ведом 2024 пр.4'!J652+'ведом 2024 пр.4'!J556</f>
        <v>0</v>
      </c>
      <c r="L25" s="401">
        <f t="shared" si="6"/>
        <v>0</v>
      </c>
      <c r="M25" s="401">
        <f t="shared" si="7"/>
        <v>0</v>
      </c>
    </row>
    <row r="26" spans="1:17" hidden="1" x14ac:dyDescent="0.2">
      <c r="A26" s="408" t="s">
        <v>74</v>
      </c>
      <c r="B26" s="400"/>
      <c r="C26" s="400"/>
      <c r="D26" s="400"/>
      <c r="E26" s="400" t="s">
        <v>1506</v>
      </c>
      <c r="F26" s="400"/>
      <c r="G26" s="400">
        <v>958</v>
      </c>
      <c r="H26" s="401">
        <f>'ведом 2024 пр.4'!G1039+'ведом 2024 пр.4'!G1152</f>
        <v>0</v>
      </c>
      <c r="I26" s="401">
        <f>'ведом 2024 пр.4'!H1039+'ведом 2024 пр.4'!H1152</f>
        <v>0</v>
      </c>
      <c r="J26" s="401">
        <f>'ведом 2024 пр.4'!I1039+'ведом 2024 пр.4'!I1152</f>
        <v>0</v>
      </c>
      <c r="K26" s="401">
        <f>'ведом 2024 пр.4'!J1039+'ведом 2024 пр.4'!J1152</f>
        <v>0</v>
      </c>
      <c r="L26" s="401">
        <f t="shared" si="6"/>
        <v>0</v>
      </c>
      <c r="M26" s="401">
        <f t="shared" si="7"/>
        <v>0</v>
      </c>
    </row>
    <row r="27" spans="1:17" x14ac:dyDescent="0.2">
      <c r="A27" s="408" t="s">
        <v>73</v>
      </c>
      <c r="B27" s="400"/>
      <c r="C27" s="400"/>
      <c r="D27" s="400"/>
      <c r="E27" s="400" t="s">
        <v>1506</v>
      </c>
      <c r="F27" s="400"/>
      <c r="G27" s="400">
        <v>959</v>
      </c>
      <c r="H27" s="401">
        <f>'ведом 2024 пр.4'!G1307</f>
        <v>0</v>
      </c>
      <c r="I27" s="401">
        <f>'ведом 2024 пр.4'!H1307</f>
        <v>0</v>
      </c>
      <c r="J27" s="401">
        <f>'ведом 2024 пр.4'!I1307</f>
        <v>180</v>
      </c>
      <c r="K27" s="401">
        <f>'ведом 2024 пр.4'!J1307</f>
        <v>0</v>
      </c>
      <c r="L27" s="401">
        <f t="shared" si="6"/>
        <v>180</v>
      </c>
      <c r="M27" s="401">
        <f t="shared" si="7"/>
        <v>0</v>
      </c>
    </row>
    <row r="28" spans="1:17" ht="33" hidden="1" customHeight="1" x14ac:dyDescent="0.2">
      <c r="A28" s="408" t="s">
        <v>972</v>
      </c>
      <c r="B28" s="400"/>
      <c r="C28" s="400"/>
      <c r="D28" s="400"/>
      <c r="E28" s="400" t="s">
        <v>1506</v>
      </c>
      <c r="F28" s="400"/>
      <c r="G28" s="400">
        <v>979</v>
      </c>
      <c r="H28" s="401">
        <f>'ведом 2024 пр.4'!G2313</f>
        <v>0</v>
      </c>
      <c r="I28" s="401">
        <f>'ведом 2024 пр.4'!H2313</f>
        <v>0</v>
      </c>
      <c r="J28" s="401">
        <f>'ведом 2024 пр.4'!I2313</f>
        <v>0</v>
      </c>
      <c r="K28" s="401">
        <f>'ведом 2024 пр.4'!J2313</f>
        <v>0</v>
      </c>
      <c r="L28" s="401">
        <f>'ведом 2024 пр.4'!K2313</f>
        <v>0</v>
      </c>
      <c r="M28" s="401">
        <f>'ведом 2024 пр.4'!L2313</f>
        <v>0</v>
      </c>
    </row>
    <row r="29" spans="1:17" x14ac:dyDescent="0.2">
      <c r="A29" s="406" t="str">
        <f>'ведом 2024 пр.4'!A655</f>
        <v>Основное мероприятие "Изучение и сохранение родного языка"</v>
      </c>
      <c r="B29" s="400"/>
      <c r="C29" s="400"/>
      <c r="D29" s="400"/>
      <c r="E29" s="400" t="s">
        <v>1533</v>
      </c>
      <c r="F29" s="400"/>
      <c r="G29" s="400"/>
      <c r="H29" s="401">
        <f>H30+H31+H32</f>
        <v>0</v>
      </c>
      <c r="I29" s="401">
        <f>I30+I31+I32</f>
        <v>0</v>
      </c>
      <c r="J29" s="401">
        <f>J30+J31+J32</f>
        <v>35</v>
      </c>
      <c r="K29" s="401">
        <f>K30+K31+K32</f>
        <v>0</v>
      </c>
      <c r="L29" s="401">
        <f t="shared" si="6"/>
        <v>35</v>
      </c>
      <c r="M29" s="401">
        <f t="shared" si="7"/>
        <v>0</v>
      </c>
    </row>
    <row r="30" spans="1:17" hidden="1" x14ac:dyDescent="0.2">
      <c r="A30" s="408" t="s">
        <v>72</v>
      </c>
      <c r="B30" s="400"/>
      <c r="C30" s="400"/>
      <c r="D30" s="400"/>
      <c r="E30" s="400" t="s">
        <v>1533</v>
      </c>
      <c r="F30" s="400">
        <v>957</v>
      </c>
      <c r="G30" s="400">
        <v>957</v>
      </c>
      <c r="H30" s="401">
        <f>'ведом 2024 пр.4'!G655</f>
        <v>0</v>
      </c>
      <c r="I30" s="401">
        <f>'ведом 2024 пр.4'!H655</f>
        <v>0</v>
      </c>
      <c r="J30" s="401">
        <f>'ведом 2024 пр.4'!I655</f>
        <v>0</v>
      </c>
      <c r="K30" s="401">
        <f>'ведом 2024 пр.4'!J655</f>
        <v>0</v>
      </c>
      <c r="L30" s="401">
        <f t="shared" si="6"/>
        <v>0</v>
      </c>
      <c r="M30" s="401">
        <f t="shared" si="7"/>
        <v>0</v>
      </c>
    </row>
    <row r="31" spans="1:17" x14ac:dyDescent="0.2">
      <c r="A31" s="408" t="s">
        <v>74</v>
      </c>
      <c r="B31" s="400"/>
      <c r="C31" s="400"/>
      <c r="D31" s="400"/>
      <c r="E31" s="400" t="s">
        <v>1533</v>
      </c>
      <c r="F31" s="400">
        <v>958</v>
      </c>
      <c r="G31" s="400">
        <v>958</v>
      </c>
      <c r="H31" s="401">
        <f>'ведом 2024 пр.4'!G1043+'ведом 2024 пр.4'!G1157+'ведом 2024 пр.4'!G853</f>
        <v>0</v>
      </c>
      <c r="I31" s="401">
        <f>'ведом 2024 пр.4'!H1043+'ведом 2024 пр.4'!H1157+'ведом 2024 пр.4'!H853</f>
        <v>0</v>
      </c>
      <c r="J31" s="401">
        <f>'ведом 2024 пр.4'!I1043+'ведом 2024 пр.4'!I1157+'ведом 2024 пр.4'!I853</f>
        <v>35</v>
      </c>
      <c r="K31" s="401">
        <f>'ведом 2024 пр.4'!J1043+'ведом 2024 пр.4'!J1157+'ведом 2024 пр.4'!J853</f>
        <v>0</v>
      </c>
      <c r="L31" s="401">
        <f>'ведом 2024 пр.4'!K1043+'ведом 2024 пр.4'!K1157+'ведом 2024 пр.4'!K853</f>
        <v>35</v>
      </c>
      <c r="M31" s="401">
        <f>'ведом 2024 пр.4'!L1043+'ведом 2024 пр.4'!L1157+'ведом 2024 пр.4'!L853</f>
        <v>0</v>
      </c>
    </row>
    <row r="32" spans="1:17" ht="20.25" hidden="1" customHeight="1" x14ac:dyDescent="0.2">
      <c r="A32" s="408" t="s">
        <v>73</v>
      </c>
      <c r="B32" s="400"/>
      <c r="C32" s="400"/>
      <c r="D32" s="400"/>
      <c r="E32" s="400" t="s">
        <v>1533</v>
      </c>
      <c r="F32" s="400">
        <v>959</v>
      </c>
      <c r="G32" s="400">
        <v>959</v>
      </c>
      <c r="H32" s="401"/>
      <c r="I32" s="401"/>
      <c r="J32" s="401"/>
      <c r="K32" s="401"/>
      <c r="L32" s="401">
        <f t="shared" si="6"/>
        <v>0</v>
      </c>
      <c r="M32" s="401">
        <f t="shared" si="7"/>
        <v>0</v>
      </c>
    </row>
    <row r="33" spans="1:20" x14ac:dyDescent="0.2">
      <c r="A33" s="408" t="str">
        <f>'ведом 2024 пр.4'!A1311</f>
        <v>Основное мероприятие "Мероприятия, направленные на сохранение и развитие бурятского языка"</v>
      </c>
      <c r="B33" s="400"/>
      <c r="C33" s="400"/>
      <c r="D33" s="400"/>
      <c r="E33" s="400" t="s">
        <v>1508</v>
      </c>
      <c r="F33" s="400"/>
      <c r="G33" s="400"/>
      <c r="H33" s="401">
        <f t="shared" ref="H33:M33" si="8">SUBTOTAL(9,H34:H37)</f>
        <v>719.8</v>
      </c>
      <c r="I33" s="401">
        <f t="shared" si="8"/>
        <v>0</v>
      </c>
      <c r="J33" s="401">
        <f t="shared" si="8"/>
        <v>784.8</v>
      </c>
      <c r="K33" s="401">
        <f t="shared" si="8"/>
        <v>0</v>
      </c>
      <c r="L33" s="401">
        <f t="shared" si="8"/>
        <v>65</v>
      </c>
      <c r="M33" s="401">
        <f t="shared" si="8"/>
        <v>0</v>
      </c>
    </row>
    <row r="34" spans="1:20" x14ac:dyDescent="0.2">
      <c r="A34" s="408" t="s">
        <v>72</v>
      </c>
      <c r="B34" s="400"/>
      <c r="C34" s="400"/>
      <c r="D34" s="400"/>
      <c r="E34" s="400" t="s">
        <v>1508</v>
      </c>
      <c r="F34" s="400"/>
      <c r="G34" s="400">
        <v>957</v>
      </c>
      <c r="H34" s="401">
        <f>'ведом 2024 пр.4'!G658+'ведом 2024 пр.4'!G559</f>
        <v>105</v>
      </c>
      <c r="I34" s="401">
        <f>'ведом 2024 пр.4'!H658+'ведом 2024 пр.4'!H559</f>
        <v>0</v>
      </c>
      <c r="J34" s="401">
        <f>'ведом 2024 пр.4'!I658+'ведом 2024 пр.4'!I559</f>
        <v>155</v>
      </c>
      <c r="K34" s="401">
        <f>'ведом 2024 пр.4'!J658+'ведом 2024 пр.4'!J559</f>
        <v>0</v>
      </c>
      <c r="L34" s="401">
        <f t="shared" si="6"/>
        <v>50</v>
      </c>
      <c r="M34" s="401">
        <f t="shared" si="7"/>
        <v>0</v>
      </c>
      <c r="N34" s="2">
        <f>20+70</f>
        <v>90</v>
      </c>
    </row>
    <row r="35" spans="1:20" x14ac:dyDescent="0.2">
      <c r="A35" s="408" t="s">
        <v>74</v>
      </c>
      <c r="B35" s="400"/>
      <c r="C35" s="400"/>
      <c r="D35" s="400"/>
      <c r="E35" s="400" t="s">
        <v>1508</v>
      </c>
      <c r="F35" s="400"/>
      <c r="G35" s="400">
        <v>958</v>
      </c>
      <c r="H35" s="401">
        <f>'ведом 2024 пр.4'!G1048+'ведом 2024 пр.4'!G1163</f>
        <v>15</v>
      </c>
      <c r="I35" s="401">
        <f>'ведом 2024 пр.4'!H1048+'ведом 2024 пр.4'!H1163</f>
        <v>0</v>
      </c>
      <c r="J35" s="401">
        <f>'ведом 2024 пр.4'!I1048+'ведом 2024 пр.4'!I1163</f>
        <v>15</v>
      </c>
      <c r="K35" s="401">
        <f>'ведом 2024 пр.4'!J1048+'ведом 2024 пр.4'!J1163</f>
        <v>0</v>
      </c>
      <c r="L35" s="401">
        <f t="shared" si="6"/>
        <v>0</v>
      </c>
      <c r="M35" s="401">
        <f t="shared" si="7"/>
        <v>0</v>
      </c>
      <c r="N35" s="2">
        <f>50+10+50</f>
        <v>110</v>
      </c>
    </row>
    <row r="36" spans="1:20" x14ac:dyDescent="0.2">
      <c r="A36" s="408" t="s">
        <v>73</v>
      </c>
      <c r="B36" s="400"/>
      <c r="C36" s="400"/>
      <c r="D36" s="400"/>
      <c r="E36" s="400" t="s">
        <v>1508</v>
      </c>
      <c r="F36" s="400"/>
      <c r="G36" s="400">
        <v>959</v>
      </c>
      <c r="H36" s="401">
        <f>'ведом 2024 пр.4'!G1311</f>
        <v>60</v>
      </c>
      <c r="I36" s="401">
        <f>'ведом 2024 пр.4'!H1311</f>
        <v>0</v>
      </c>
      <c r="J36" s="401">
        <f>'ведом 2024 пр.4'!I1311</f>
        <v>75</v>
      </c>
      <c r="K36" s="401">
        <f>'ведом 2024 пр.4'!J1311</f>
        <v>0</v>
      </c>
      <c r="L36" s="401">
        <f t="shared" si="6"/>
        <v>15</v>
      </c>
      <c r="M36" s="401">
        <f t="shared" si="7"/>
        <v>0</v>
      </c>
      <c r="N36" s="2">
        <f>10+10+10+10+10+15+10+50</f>
        <v>125</v>
      </c>
    </row>
    <row r="37" spans="1:20" ht="30" x14ac:dyDescent="0.2">
      <c r="A37" s="408" t="s">
        <v>972</v>
      </c>
      <c r="B37" s="400"/>
      <c r="C37" s="400"/>
      <c r="D37" s="400"/>
      <c r="E37" s="400" t="s">
        <v>1508</v>
      </c>
      <c r="F37" s="400"/>
      <c r="G37" s="400">
        <v>979</v>
      </c>
      <c r="H37" s="401">
        <f>'ведом 2024 пр.4'!G2245+'ведом 2024 пр.4'!G2316</f>
        <v>539.79999999999995</v>
      </c>
      <c r="I37" s="401">
        <f>'ведом 2024 пр.4'!H2245+'ведом 2024 пр.4'!H2316</f>
        <v>0</v>
      </c>
      <c r="J37" s="401">
        <f>'ведом 2024 пр.4'!I2245+'ведом 2024 пр.4'!I2316</f>
        <v>539.79999999999995</v>
      </c>
      <c r="K37" s="401">
        <f>'ведом 2024 пр.4'!J2245+'ведом 2024 пр.4'!J2316</f>
        <v>0</v>
      </c>
      <c r="L37" s="401">
        <f>'ведом 2024 пр.4'!K2245+'ведом 2024 пр.4'!K2316</f>
        <v>0</v>
      </c>
      <c r="M37" s="401">
        <f>'ведом 2024 пр.4'!L2245+'ведом 2024 пр.4'!L2316</f>
        <v>0</v>
      </c>
    </row>
    <row r="38" spans="1:20" hidden="1" x14ac:dyDescent="0.2">
      <c r="A38" s="406" t="str">
        <f>'ведом 2024 пр.4'!A665</f>
        <v>Основное мероприятие "Традиционные мероприятия, направленные на сохранение и развитие бурятского языка"</v>
      </c>
      <c r="B38" s="400"/>
      <c r="C38" s="400"/>
      <c r="D38" s="400"/>
      <c r="E38" s="400" t="s">
        <v>1535</v>
      </c>
      <c r="F38" s="400"/>
      <c r="G38" s="400"/>
      <c r="H38" s="401">
        <f>H39+H40+H41</f>
        <v>0</v>
      </c>
      <c r="I38" s="401">
        <f>I39+I40+I41</f>
        <v>0</v>
      </c>
      <c r="J38" s="401">
        <f>J39+J40+J41</f>
        <v>0</v>
      </c>
      <c r="K38" s="401">
        <f>K39+K40+K41</f>
        <v>0</v>
      </c>
      <c r="L38" s="401">
        <f t="shared" si="6"/>
        <v>0</v>
      </c>
      <c r="M38" s="401">
        <f t="shared" si="7"/>
        <v>0</v>
      </c>
      <c r="N38" s="2">
        <v>15</v>
      </c>
    </row>
    <row r="39" spans="1:20" hidden="1" x14ac:dyDescent="0.2">
      <c r="A39" s="408" t="s">
        <v>72</v>
      </c>
      <c r="B39" s="400"/>
      <c r="C39" s="400"/>
      <c r="D39" s="400"/>
      <c r="E39" s="400" t="s">
        <v>1535</v>
      </c>
      <c r="F39" s="400"/>
      <c r="G39" s="400">
        <v>957</v>
      </c>
      <c r="H39" s="401">
        <f>'ведом 2024 пр.4'!G665</f>
        <v>0</v>
      </c>
      <c r="I39" s="401">
        <f>'ведом 2024 пр.4'!H665</f>
        <v>0</v>
      </c>
      <c r="J39" s="401">
        <f>'ведом 2024 пр.4'!I665</f>
        <v>0</v>
      </c>
      <c r="K39" s="401">
        <f>'ведом 2024 пр.4'!J665</f>
        <v>0</v>
      </c>
      <c r="L39" s="401">
        <f t="shared" si="6"/>
        <v>0</v>
      </c>
      <c r="M39" s="401">
        <f t="shared" si="7"/>
        <v>0</v>
      </c>
    </row>
    <row r="40" spans="1:20" hidden="1" x14ac:dyDescent="0.2">
      <c r="A40" s="408" t="s">
        <v>74</v>
      </c>
      <c r="B40" s="400"/>
      <c r="C40" s="400"/>
      <c r="D40" s="400"/>
      <c r="E40" s="400" t="s">
        <v>1535</v>
      </c>
      <c r="F40" s="400"/>
      <c r="G40" s="400">
        <v>958</v>
      </c>
      <c r="H40" s="401">
        <f>'ведом 2024 пр.4'!G1168</f>
        <v>0</v>
      </c>
      <c r="I40" s="401">
        <f>'ведом 2024 пр.4'!H1168</f>
        <v>0</v>
      </c>
      <c r="J40" s="401">
        <f>'ведом 2024 пр.4'!I1168</f>
        <v>0</v>
      </c>
      <c r="K40" s="401">
        <f>'ведом 2024 пр.4'!J1168</f>
        <v>0</v>
      </c>
      <c r="L40" s="401">
        <f t="shared" si="6"/>
        <v>0</v>
      </c>
      <c r="M40" s="401">
        <f t="shared" si="7"/>
        <v>0</v>
      </c>
    </row>
    <row r="41" spans="1:20" ht="20.25" hidden="1" customHeight="1" x14ac:dyDescent="0.2">
      <c r="A41" s="408" t="s">
        <v>73</v>
      </c>
      <c r="B41" s="400"/>
      <c r="C41" s="400"/>
      <c r="D41" s="400"/>
      <c r="E41" s="400" t="s">
        <v>1535</v>
      </c>
      <c r="F41" s="400"/>
      <c r="G41" s="400">
        <v>959</v>
      </c>
      <c r="H41" s="401">
        <f>'ведом 2024 пр.4'!G1317</f>
        <v>0</v>
      </c>
      <c r="I41" s="401">
        <f>'ведом 2024 пр.4'!H1317</f>
        <v>0</v>
      </c>
      <c r="J41" s="401">
        <f>'ведом 2024 пр.4'!I1317</f>
        <v>0</v>
      </c>
      <c r="K41" s="401">
        <f>'ведом 2024 пр.4'!J1317</f>
        <v>0</v>
      </c>
      <c r="L41" s="401">
        <f t="shared" si="6"/>
        <v>0</v>
      </c>
      <c r="M41" s="401">
        <f t="shared" si="7"/>
        <v>0</v>
      </c>
    </row>
    <row r="42" spans="1:20" ht="32.25" customHeight="1" x14ac:dyDescent="0.2">
      <c r="A42" s="562" t="str">
        <f>'ведом 2024 пр.4'!A1498</f>
        <v>Муниципальная программа "Развитие муниципальной службы муниципального образования "Закаменский район" на 2024-2028 гг"</v>
      </c>
      <c r="B42" s="556"/>
      <c r="C42" s="556"/>
      <c r="D42" s="556"/>
      <c r="E42" s="556" t="s">
        <v>1950</v>
      </c>
      <c r="F42" s="556"/>
      <c r="G42" s="556"/>
      <c r="H42" s="558">
        <f>H43</f>
        <v>338</v>
      </c>
      <c r="I42" s="558">
        <f t="shared" ref="I42:M43" si="9">I43</f>
        <v>0</v>
      </c>
      <c r="J42" s="558">
        <f t="shared" si="9"/>
        <v>338</v>
      </c>
      <c r="K42" s="558">
        <f t="shared" si="9"/>
        <v>0</v>
      </c>
      <c r="L42" s="558">
        <f t="shared" si="9"/>
        <v>0</v>
      </c>
      <c r="M42" s="558">
        <f t="shared" si="9"/>
        <v>0</v>
      </c>
      <c r="N42" s="39">
        <f>H42-'ведом 2024 пр.4'!G2392</f>
        <v>0</v>
      </c>
      <c r="O42" s="39">
        <f>I42-'ведом 2024 пр.4'!H2392</f>
        <v>0</v>
      </c>
      <c r="P42" s="39">
        <f>J42-'ведом 2024 пр.4'!I2392</f>
        <v>0</v>
      </c>
      <c r="Q42" s="39">
        <f>K42-'ведом 2024 пр.4'!J2392</f>
        <v>0</v>
      </c>
    </row>
    <row r="43" spans="1:20" ht="20.25" customHeight="1" x14ac:dyDescent="0.2">
      <c r="A43" s="406" t="str">
        <f>'ведом 2024 пр.4'!A1499</f>
        <v>Основное мероприятие "Внедрение эффективных технологий и современных методов кадровой работы"</v>
      </c>
      <c r="B43" s="400"/>
      <c r="C43" s="400"/>
      <c r="D43" s="400"/>
      <c r="E43" s="400" t="s">
        <v>1951</v>
      </c>
      <c r="F43" s="400"/>
      <c r="G43" s="400"/>
      <c r="H43" s="401">
        <f>H44</f>
        <v>338</v>
      </c>
      <c r="I43" s="401">
        <f t="shared" si="9"/>
        <v>0</v>
      </c>
      <c r="J43" s="401">
        <f t="shared" si="9"/>
        <v>338</v>
      </c>
      <c r="K43" s="401">
        <f t="shared" si="9"/>
        <v>0</v>
      </c>
      <c r="L43" s="401">
        <f t="shared" si="9"/>
        <v>0</v>
      </c>
      <c r="M43" s="401">
        <f t="shared" si="9"/>
        <v>0</v>
      </c>
    </row>
    <row r="44" spans="1:20" ht="20.25" customHeight="1" x14ac:dyDescent="0.2">
      <c r="A44" s="408" t="s">
        <v>73</v>
      </c>
      <c r="B44" s="400"/>
      <c r="C44" s="400"/>
      <c r="D44" s="400"/>
      <c r="E44" s="400" t="s">
        <v>1506</v>
      </c>
      <c r="F44" s="400"/>
      <c r="G44" s="400">
        <v>959</v>
      </c>
      <c r="H44" s="401">
        <f>'ведом 2024 пр.4'!G1499</f>
        <v>338</v>
      </c>
      <c r="I44" s="401">
        <f>'ведом 2024 пр.4'!H1499</f>
        <v>0</v>
      </c>
      <c r="J44" s="401">
        <f>'ведом 2024 пр.4'!I1499</f>
        <v>338</v>
      </c>
      <c r="K44" s="401">
        <f>'ведом 2024 пр.4'!J1499</f>
        <v>0</v>
      </c>
      <c r="L44" s="401">
        <f>'ведом 2024 пр.4'!K1499</f>
        <v>0</v>
      </c>
      <c r="M44" s="401">
        <f>'ведом 2024 пр.4'!L1499</f>
        <v>0</v>
      </c>
    </row>
    <row r="45" spans="1:20" ht="20.25" customHeight="1" x14ac:dyDescent="0.2">
      <c r="A45" s="562" t="s">
        <v>1973</v>
      </c>
      <c r="B45" s="556" t="s">
        <v>1950</v>
      </c>
      <c r="C45" s="556"/>
      <c r="D45" s="558">
        <v>0</v>
      </c>
      <c r="E45" s="558" t="s">
        <v>1976</v>
      </c>
      <c r="F45" s="558">
        <v>338</v>
      </c>
      <c r="G45" s="558"/>
      <c r="H45" s="558">
        <f>H46</f>
        <v>199.5</v>
      </c>
      <c r="I45" s="558">
        <f t="shared" ref="I45:M46" si="10">I46</f>
        <v>0</v>
      </c>
      <c r="J45" s="558">
        <f t="shared" si="10"/>
        <v>199.5</v>
      </c>
      <c r="K45" s="558">
        <f t="shared" si="10"/>
        <v>0</v>
      </c>
      <c r="L45" s="558">
        <f t="shared" si="10"/>
        <v>0</v>
      </c>
      <c r="M45" s="558">
        <f t="shared" si="10"/>
        <v>0</v>
      </c>
    </row>
    <row r="46" spans="1:20" ht="20.25" customHeight="1" x14ac:dyDescent="0.2">
      <c r="A46" s="406" t="s">
        <v>1974</v>
      </c>
      <c r="B46" s="400" t="s">
        <v>1951</v>
      </c>
      <c r="C46" s="400"/>
      <c r="D46" s="401">
        <v>0</v>
      </c>
      <c r="E46" s="401" t="s">
        <v>1977</v>
      </c>
      <c r="F46" s="401">
        <v>338</v>
      </c>
      <c r="G46" s="401"/>
      <c r="H46" s="401">
        <f>H47</f>
        <v>199.5</v>
      </c>
      <c r="I46" s="401">
        <f t="shared" si="10"/>
        <v>0</v>
      </c>
      <c r="J46" s="401">
        <f t="shared" si="10"/>
        <v>199.5</v>
      </c>
      <c r="K46" s="401">
        <f t="shared" si="10"/>
        <v>0</v>
      </c>
      <c r="L46" s="401">
        <f t="shared" si="10"/>
        <v>0</v>
      </c>
      <c r="M46" s="401">
        <f t="shared" si="10"/>
        <v>0</v>
      </c>
    </row>
    <row r="47" spans="1:20" ht="20.25" customHeight="1" x14ac:dyDescent="0.2">
      <c r="A47" s="408" t="s">
        <v>73</v>
      </c>
      <c r="B47" s="400" t="s">
        <v>1506</v>
      </c>
      <c r="C47" s="400">
        <v>959</v>
      </c>
      <c r="D47" s="401">
        <v>0</v>
      </c>
      <c r="E47" s="401" t="s">
        <v>1977</v>
      </c>
      <c r="F47" s="401">
        <v>338</v>
      </c>
      <c r="G47" s="396">
        <v>959</v>
      </c>
      <c r="H47" s="401">
        <f>'ведом 2024 пр.4'!G1322</f>
        <v>199.5</v>
      </c>
      <c r="I47" s="401">
        <f>'ведом 2024 пр.4'!H1322</f>
        <v>0</v>
      </c>
      <c r="J47" s="401">
        <f>'ведом 2024 пр.4'!I1322</f>
        <v>199.5</v>
      </c>
      <c r="K47" s="401">
        <f>'ведом 2024 пр.4'!J1322</f>
        <v>0</v>
      </c>
      <c r="L47" s="401">
        <f>'ведом 2024 пр.4'!K1322</f>
        <v>0</v>
      </c>
      <c r="M47" s="401">
        <f>'ведом 2024 пр.4'!L1322</f>
        <v>0</v>
      </c>
    </row>
    <row r="48" spans="1:20" s="116" customFormat="1" ht="28.5" x14ac:dyDescent="0.2">
      <c r="A48" s="555" t="s">
        <v>314</v>
      </c>
      <c r="B48" s="393" t="e">
        <f>#REF!</f>
        <v>#REF!</v>
      </c>
      <c r="C48" s="393" t="e">
        <f>#REF!</f>
        <v>#REF!</v>
      </c>
      <c r="D48" s="393" t="e">
        <f>#REF!</f>
        <v>#REF!</v>
      </c>
      <c r="E48" s="556">
        <v>7100000000</v>
      </c>
      <c r="F48" s="393" t="e">
        <f>#REF!</f>
        <v>#REF!</v>
      </c>
      <c r="G48" s="556"/>
      <c r="H48" s="558">
        <f>H49+H52+H55</f>
        <v>77853.48421000001</v>
      </c>
      <c r="I48" s="558">
        <f>I49+I52+I55</f>
        <v>0</v>
      </c>
      <c r="J48" s="558">
        <f>J49+J52+J55</f>
        <v>88795.462439999988</v>
      </c>
      <c r="K48" s="558">
        <f>K49+K52+K55</f>
        <v>0</v>
      </c>
      <c r="L48" s="558">
        <f t="shared" si="6"/>
        <v>10941.978229999979</v>
      </c>
      <c r="M48" s="558">
        <f t="shared" si="7"/>
        <v>0</v>
      </c>
      <c r="N48" s="190">
        <f>H48-'ведом 2024 пр.4'!G2381</f>
        <v>0</v>
      </c>
      <c r="O48" s="190">
        <f>I48-'ведом 2024 пр.4'!H2381</f>
        <v>0</v>
      </c>
      <c r="P48" s="190">
        <f>J48-'ведом 2024 пр.4'!I2381</f>
        <v>0</v>
      </c>
      <c r="Q48" s="190">
        <f>K48-'ведом 2024 пр.4'!J2381</f>
        <v>0</v>
      </c>
      <c r="R48" s="190"/>
      <c r="S48" s="190"/>
      <c r="T48" s="190"/>
    </row>
    <row r="49" spans="1:16" x14ac:dyDescent="0.2">
      <c r="A49" s="408" t="s">
        <v>503</v>
      </c>
      <c r="B49" s="400" t="e">
        <f>#REF!</f>
        <v>#REF!</v>
      </c>
      <c r="C49" s="400" t="e">
        <f>#REF!</f>
        <v>#REF!</v>
      </c>
      <c r="D49" s="400" t="e">
        <f>#REF!</f>
        <v>#REF!</v>
      </c>
      <c r="E49" s="400">
        <v>7110000000</v>
      </c>
      <c r="F49" s="400" t="e">
        <f>#REF!</f>
        <v>#REF!</v>
      </c>
      <c r="G49" s="400"/>
      <c r="H49" s="401">
        <f t="shared" ref="H49:K50" si="11">H50</f>
        <v>12134.41732</v>
      </c>
      <c r="I49" s="401">
        <f t="shared" si="11"/>
        <v>0</v>
      </c>
      <c r="J49" s="401">
        <f t="shared" si="11"/>
        <v>15314.19555</v>
      </c>
      <c r="K49" s="401">
        <f t="shared" si="11"/>
        <v>0</v>
      </c>
      <c r="L49" s="401">
        <f t="shared" si="6"/>
        <v>3179.7782299999999</v>
      </c>
      <c r="M49" s="401">
        <f t="shared" si="7"/>
        <v>0</v>
      </c>
    </row>
    <row r="50" spans="1:16" x14ac:dyDescent="0.2">
      <c r="A50" s="432" t="s">
        <v>509</v>
      </c>
      <c r="B50" s="400"/>
      <c r="C50" s="400"/>
      <c r="D50" s="400"/>
      <c r="E50" s="400">
        <v>7110100000</v>
      </c>
      <c r="F50" s="400"/>
      <c r="G50" s="400"/>
      <c r="H50" s="401">
        <f t="shared" si="11"/>
        <v>12134.41732</v>
      </c>
      <c r="I50" s="401">
        <f t="shared" si="11"/>
        <v>0</v>
      </c>
      <c r="J50" s="401">
        <f t="shared" si="11"/>
        <v>15314.19555</v>
      </c>
      <c r="K50" s="401">
        <f t="shared" si="11"/>
        <v>0</v>
      </c>
      <c r="L50" s="401">
        <f t="shared" si="6"/>
        <v>3179.7782299999999</v>
      </c>
      <c r="M50" s="401">
        <f t="shared" si="7"/>
        <v>0</v>
      </c>
    </row>
    <row r="51" spans="1:16" x14ac:dyDescent="0.2">
      <c r="A51" s="408" t="s">
        <v>71</v>
      </c>
      <c r="B51" s="400"/>
      <c r="C51" s="400"/>
      <c r="D51" s="400"/>
      <c r="E51" s="400">
        <v>7110100000</v>
      </c>
      <c r="F51" s="400"/>
      <c r="G51" s="400">
        <v>960</v>
      </c>
      <c r="H51" s="401">
        <f>'ведом 2024 пр.4'!G1674</f>
        <v>12134.41732</v>
      </c>
      <c r="I51" s="401">
        <f>'ведом 2024 пр.4'!H1674</f>
        <v>0</v>
      </c>
      <c r="J51" s="401">
        <f>'ведом 2024 пр.4'!I1674</f>
        <v>15314.19555</v>
      </c>
      <c r="K51" s="401">
        <f>'ведом 2024 пр.4'!J1674</f>
        <v>0</v>
      </c>
      <c r="L51" s="401">
        <f t="shared" si="6"/>
        <v>3179.7782299999999</v>
      </c>
      <c r="M51" s="401">
        <f t="shared" si="7"/>
        <v>0</v>
      </c>
    </row>
    <row r="52" spans="1:16" x14ac:dyDescent="0.2">
      <c r="A52" s="408" t="s">
        <v>504</v>
      </c>
      <c r="B52" s="402"/>
      <c r="C52" s="402"/>
      <c r="D52" s="402"/>
      <c r="E52" s="403">
        <v>7120000000</v>
      </c>
      <c r="F52" s="402"/>
      <c r="G52" s="404"/>
      <c r="H52" s="405">
        <f>H53</f>
        <v>65706.081000000006</v>
      </c>
      <c r="I52" s="405">
        <f t="shared" ref="H52:K53" si="12">I53</f>
        <v>0</v>
      </c>
      <c r="J52" s="405">
        <f>J53</f>
        <v>73468.280999999988</v>
      </c>
      <c r="K52" s="405">
        <f t="shared" si="12"/>
        <v>0</v>
      </c>
      <c r="L52" s="405">
        <f t="shared" si="6"/>
        <v>7762.1999999999825</v>
      </c>
      <c r="M52" s="405">
        <f t="shared" si="7"/>
        <v>0</v>
      </c>
    </row>
    <row r="53" spans="1:16" x14ac:dyDescent="0.25">
      <c r="A53" s="433" t="s">
        <v>511</v>
      </c>
      <c r="B53" s="402"/>
      <c r="C53" s="402"/>
      <c r="D53" s="402"/>
      <c r="E53" s="403">
        <v>7120200000</v>
      </c>
      <c r="F53" s="402"/>
      <c r="G53" s="404"/>
      <c r="H53" s="405">
        <f t="shared" si="12"/>
        <v>65706.081000000006</v>
      </c>
      <c r="I53" s="405">
        <f t="shared" si="12"/>
        <v>0</v>
      </c>
      <c r="J53" s="405">
        <f t="shared" si="12"/>
        <v>73468.280999999988</v>
      </c>
      <c r="K53" s="405">
        <f t="shared" si="12"/>
        <v>0</v>
      </c>
      <c r="L53" s="405">
        <f t="shared" si="6"/>
        <v>7762.1999999999825</v>
      </c>
      <c r="M53" s="405">
        <f t="shared" si="7"/>
        <v>0</v>
      </c>
    </row>
    <row r="54" spans="1:16" x14ac:dyDescent="0.2">
      <c r="A54" s="408" t="s">
        <v>71</v>
      </c>
      <c r="B54" s="402"/>
      <c r="C54" s="402"/>
      <c r="D54" s="402"/>
      <c r="E54" s="403">
        <v>7120200000</v>
      </c>
      <c r="F54" s="402"/>
      <c r="G54" s="396">
        <v>960</v>
      </c>
      <c r="H54" s="405">
        <f>'ведом 2024 пр.4'!G1728+'ведом 2024 пр.4'!G1740+'ведом 2024 пр.4'!G1707</f>
        <v>65706.081000000006</v>
      </c>
      <c r="I54" s="405">
        <f>'ведом 2024 пр.4'!H1728+'ведом 2024 пр.4'!H1740+'ведом 2024 пр.4'!H1707</f>
        <v>0</v>
      </c>
      <c r="J54" s="405">
        <f>'ведом 2024 пр.4'!I1728+'ведом 2024 пр.4'!I1740+'ведом 2024 пр.4'!I1707</f>
        <v>73468.280999999988</v>
      </c>
      <c r="K54" s="405">
        <f>'ведом 2024 пр.4'!J1728+'ведом 2024 пр.4'!J1740+'ведом 2024 пр.4'!J1707</f>
        <v>0</v>
      </c>
      <c r="L54" s="405">
        <f>'ведом 2024 пр.4'!K1728+'ведом 2024 пр.4'!K1740+'ведом 2024 пр.4'!K1707</f>
        <v>7762.1999999999971</v>
      </c>
      <c r="M54" s="405">
        <f>'ведом 2024 пр.4'!L1728+'ведом 2024 пр.4'!L1740+'ведом 2024 пр.4'!L1707</f>
        <v>0</v>
      </c>
    </row>
    <row r="55" spans="1:16" x14ac:dyDescent="0.2">
      <c r="A55" s="408" t="s">
        <v>505</v>
      </c>
      <c r="B55" s="402"/>
      <c r="C55" s="402"/>
      <c r="D55" s="402"/>
      <c r="E55" s="403">
        <v>7130000000</v>
      </c>
      <c r="F55" s="402"/>
      <c r="G55" s="396"/>
      <c r="H55" s="405">
        <f t="shared" ref="H55:K56" si="13">H56</f>
        <v>12.985889999999999</v>
      </c>
      <c r="I55" s="405">
        <f t="shared" si="13"/>
        <v>0</v>
      </c>
      <c r="J55" s="405">
        <f t="shared" si="13"/>
        <v>12.985889999999999</v>
      </c>
      <c r="K55" s="405">
        <f t="shared" si="13"/>
        <v>0</v>
      </c>
      <c r="L55" s="405">
        <f t="shared" si="6"/>
        <v>0</v>
      </c>
      <c r="M55" s="405">
        <f t="shared" si="7"/>
        <v>0</v>
      </c>
    </row>
    <row r="56" spans="1:16" x14ac:dyDescent="0.2">
      <c r="A56" s="432" t="s">
        <v>510</v>
      </c>
      <c r="B56" s="402"/>
      <c r="C56" s="402"/>
      <c r="D56" s="402"/>
      <c r="E56" s="403">
        <v>7130500000</v>
      </c>
      <c r="F56" s="402"/>
      <c r="G56" s="396"/>
      <c r="H56" s="405">
        <f t="shared" si="13"/>
        <v>12.985889999999999</v>
      </c>
      <c r="I56" s="405">
        <f t="shared" si="13"/>
        <v>0</v>
      </c>
      <c r="J56" s="405">
        <f t="shared" si="13"/>
        <v>12.985889999999999</v>
      </c>
      <c r="K56" s="405">
        <f t="shared" si="13"/>
        <v>0</v>
      </c>
      <c r="L56" s="405">
        <f t="shared" si="6"/>
        <v>0</v>
      </c>
      <c r="M56" s="405">
        <f t="shared" si="7"/>
        <v>0</v>
      </c>
    </row>
    <row r="57" spans="1:16" x14ac:dyDescent="0.2">
      <c r="A57" s="408" t="s">
        <v>71</v>
      </c>
      <c r="B57" s="402"/>
      <c r="C57" s="402"/>
      <c r="D57" s="402"/>
      <c r="E57" s="403">
        <v>7130500000</v>
      </c>
      <c r="F57" s="402"/>
      <c r="G57" s="396">
        <v>960</v>
      </c>
      <c r="H57" s="405">
        <f>'ведом 2024 пр.4'!G1721</f>
        <v>12.985889999999999</v>
      </c>
      <c r="I57" s="405">
        <f>'ведом 2024 пр.4'!H1721</f>
        <v>0</v>
      </c>
      <c r="J57" s="405">
        <f>'ведом 2024 пр.4'!I1721</f>
        <v>12.985889999999999</v>
      </c>
      <c r="K57" s="405">
        <f>'ведом 2024 пр.4'!J1721</f>
        <v>0</v>
      </c>
      <c r="L57" s="405">
        <f t="shared" si="6"/>
        <v>0</v>
      </c>
      <c r="M57" s="405">
        <f t="shared" si="7"/>
        <v>0</v>
      </c>
      <c r="N57" s="142"/>
    </row>
    <row r="58" spans="1:16" ht="33" customHeight="1" x14ac:dyDescent="0.2">
      <c r="A58" s="555" t="str">
        <f>'ведом 2024 пр.4'!A75</f>
        <v>Муниципальная программа "Развитие агропромышленного комплекса и сельских территорий Закаменского района на 2024-2028 годы"</v>
      </c>
      <c r="B58" s="402"/>
      <c r="C58" s="402"/>
      <c r="D58" s="402"/>
      <c r="E58" s="556">
        <v>7200000000</v>
      </c>
      <c r="F58" s="402"/>
      <c r="G58" s="563"/>
      <c r="H58" s="558">
        <f t="shared" ref="H58:M58" si="14">H59+H61+H63+H65+H67+H69+H71</f>
        <v>5000</v>
      </c>
      <c r="I58" s="558">
        <f t="shared" si="14"/>
        <v>0</v>
      </c>
      <c r="J58" s="558">
        <f t="shared" si="14"/>
        <v>5520</v>
      </c>
      <c r="K58" s="558">
        <f t="shared" si="14"/>
        <v>0</v>
      </c>
      <c r="L58" s="558">
        <f t="shared" si="14"/>
        <v>520</v>
      </c>
      <c r="M58" s="558">
        <f t="shared" si="14"/>
        <v>0</v>
      </c>
      <c r="N58" s="142">
        <f>H58-'ведом 2024 пр.4'!G2385</f>
        <v>0</v>
      </c>
      <c r="O58" s="142">
        <f>I58-'ведом 2024 пр.4'!H2385</f>
        <v>0</v>
      </c>
      <c r="P58" s="142">
        <f>L58-'ведом 2024 пр.4'!K2385</f>
        <v>0</v>
      </c>
    </row>
    <row r="59" spans="1:16" ht="24" customHeight="1" x14ac:dyDescent="0.2">
      <c r="A59" s="408" t="str">
        <f>'ведом 2024 пр.4'!A76</f>
        <v>Основное мероприятие "Вовлечение в оборот неиспользуемых сельскохозяйственных угодий"</v>
      </c>
      <c r="B59" s="402"/>
      <c r="C59" s="402"/>
      <c r="D59" s="402"/>
      <c r="E59" s="400">
        <v>7200100000</v>
      </c>
      <c r="F59" s="402"/>
      <c r="G59" s="396"/>
      <c r="H59" s="401">
        <f t="shared" ref="H59:M59" si="15">H60</f>
        <v>100</v>
      </c>
      <c r="I59" s="401">
        <f t="shared" si="15"/>
        <v>0</v>
      </c>
      <c r="J59" s="401">
        <f t="shared" si="15"/>
        <v>100</v>
      </c>
      <c r="K59" s="401">
        <f t="shared" si="15"/>
        <v>0</v>
      </c>
      <c r="L59" s="401">
        <f t="shared" si="15"/>
        <v>0</v>
      </c>
      <c r="M59" s="401">
        <f t="shared" si="15"/>
        <v>0</v>
      </c>
      <c r="N59" s="142"/>
    </row>
    <row r="60" spans="1:16" ht="23.25" customHeight="1" x14ac:dyDescent="0.2">
      <c r="A60" s="408" t="str">
        <f>'ведом 2024 пр.4'!A72</f>
        <v>Муниципальное казенное учреждение "Управление сельского хозяйства" муниципального образования "Закаменский район"</v>
      </c>
      <c r="B60" s="402"/>
      <c r="C60" s="402"/>
      <c r="D60" s="402"/>
      <c r="E60" s="400">
        <v>7200100000</v>
      </c>
      <c r="F60" s="402"/>
      <c r="G60" s="396">
        <v>922</v>
      </c>
      <c r="H60" s="401">
        <f>'ведом 2024 пр.4'!G76</f>
        <v>100</v>
      </c>
      <c r="I60" s="401">
        <f>'ведом 2024 пр.4'!H76</f>
        <v>0</v>
      </c>
      <c r="J60" s="401">
        <f>'ведом 2024 пр.4'!I76</f>
        <v>100</v>
      </c>
      <c r="K60" s="401">
        <f>'ведом 2024 пр.4'!J76</f>
        <v>0</v>
      </c>
      <c r="L60" s="401">
        <f>'ведом 2024 пр.4'!K76</f>
        <v>0</v>
      </c>
      <c r="M60" s="401">
        <f>'ведом 2024 пр.4'!L76</f>
        <v>0</v>
      </c>
      <c r="N60" s="142"/>
    </row>
    <row r="61" spans="1:16" ht="36.75" customHeight="1" x14ac:dyDescent="0.2">
      <c r="A61" s="408" t="str">
        <f>'ведом 2024 пр.4'!A79</f>
        <v>Основное мероприятие "Внедрение современных технологий в заготовку и приготовление кормов, обновление кормозаготовительной техники (закуп комбайнов, посевного комплекса, энергонасыщенных тракторов"</v>
      </c>
      <c r="B61" s="402"/>
      <c r="C61" s="402"/>
      <c r="D61" s="402"/>
      <c r="E61" s="400">
        <v>7200200000</v>
      </c>
      <c r="F61" s="402"/>
      <c r="G61" s="396"/>
      <c r="H61" s="401">
        <f t="shared" ref="H61:M61" si="16">H62</f>
        <v>3000</v>
      </c>
      <c r="I61" s="401">
        <f t="shared" si="16"/>
        <v>0</v>
      </c>
      <c r="J61" s="401">
        <f t="shared" si="16"/>
        <v>3000</v>
      </c>
      <c r="K61" s="401">
        <f t="shared" si="16"/>
        <v>0</v>
      </c>
      <c r="L61" s="401">
        <f t="shared" si="16"/>
        <v>0</v>
      </c>
      <c r="M61" s="401">
        <f t="shared" si="16"/>
        <v>0</v>
      </c>
      <c r="N61" s="142"/>
    </row>
    <row r="62" spans="1:16" ht="23.25" customHeight="1" x14ac:dyDescent="0.2">
      <c r="A62" s="408" t="str">
        <f>'ведом 2024 пр.4'!A72</f>
        <v>Муниципальное казенное учреждение "Управление сельского хозяйства" муниципального образования "Закаменский район"</v>
      </c>
      <c r="B62" s="402"/>
      <c r="C62" s="402"/>
      <c r="D62" s="402"/>
      <c r="E62" s="400">
        <v>7200200000</v>
      </c>
      <c r="F62" s="402"/>
      <c r="G62" s="396">
        <v>922</v>
      </c>
      <c r="H62" s="401">
        <f>'ведом 2024 пр.4'!G79</f>
        <v>3000</v>
      </c>
      <c r="I62" s="401">
        <f>'ведом 2024 пр.4'!H79</f>
        <v>0</v>
      </c>
      <c r="J62" s="401">
        <f>'ведом 2024 пр.4'!I79</f>
        <v>3000</v>
      </c>
      <c r="K62" s="401">
        <f>'ведом 2024 пр.4'!J79</f>
        <v>0</v>
      </c>
      <c r="L62" s="401">
        <f>'ведом 2024 пр.4'!K79</f>
        <v>0</v>
      </c>
      <c r="M62" s="401">
        <f>'ведом 2024 пр.4'!L79</f>
        <v>0</v>
      </c>
      <c r="N62" s="142"/>
    </row>
    <row r="63" spans="1:16" ht="24" customHeight="1" x14ac:dyDescent="0.2">
      <c r="A63" s="408" t="str">
        <f>'ведом 2024 пр.4'!A83</f>
        <v>Основное мероприятие "Организация своевременной обработки парового поля"</v>
      </c>
      <c r="B63" s="402"/>
      <c r="C63" s="402"/>
      <c r="D63" s="402"/>
      <c r="E63" s="400">
        <v>7200300000</v>
      </c>
      <c r="F63" s="402"/>
      <c r="G63" s="396"/>
      <c r="H63" s="401">
        <f t="shared" ref="H63:M63" si="17">H64</f>
        <v>800</v>
      </c>
      <c r="I63" s="401">
        <f t="shared" si="17"/>
        <v>0</v>
      </c>
      <c r="J63" s="401">
        <f t="shared" si="17"/>
        <v>800</v>
      </c>
      <c r="K63" s="401">
        <f t="shared" si="17"/>
        <v>0</v>
      </c>
      <c r="L63" s="401">
        <f t="shared" si="17"/>
        <v>0</v>
      </c>
      <c r="M63" s="401">
        <f t="shared" si="17"/>
        <v>0</v>
      </c>
      <c r="N63" s="142"/>
    </row>
    <row r="64" spans="1:16" ht="20.25" customHeight="1" x14ac:dyDescent="0.2">
      <c r="A64" s="408" t="str">
        <f>'ведом 2024 пр.4'!A72</f>
        <v>Муниципальное казенное учреждение "Управление сельского хозяйства" муниципального образования "Закаменский район"</v>
      </c>
      <c r="B64" s="402"/>
      <c r="C64" s="402"/>
      <c r="D64" s="402"/>
      <c r="E64" s="400">
        <v>7200300000</v>
      </c>
      <c r="F64" s="402"/>
      <c r="G64" s="396">
        <v>922</v>
      </c>
      <c r="H64" s="401">
        <f>'ведом 2024 пр.4'!G83</f>
        <v>800</v>
      </c>
      <c r="I64" s="401">
        <f>'ведом 2024 пр.4'!H83</f>
        <v>0</v>
      </c>
      <c r="J64" s="401">
        <f>'ведом 2024 пр.4'!I83</f>
        <v>800</v>
      </c>
      <c r="K64" s="401">
        <f>'ведом 2024 пр.4'!J83</f>
        <v>0</v>
      </c>
      <c r="L64" s="401">
        <f>'ведом 2024 пр.4'!K83</f>
        <v>0</v>
      </c>
      <c r="M64" s="401">
        <f>'ведом 2024 пр.4'!L83</f>
        <v>0</v>
      </c>
      <c r="N64" s="142"/>
    </row>
    <row r="65" spans="1:20" ht="20.25" customHeight="1" x14ac:dyDescent="0.2">
      <c r="A65" s="406" t="str">
        <f>'ведом 2024 пр.4'!A87</f>
        <v>Основное мероприятие "Обновление семенного материала (закуп сортовых семян сельскохозяйственных культур), содействие хозяйствам различных форм хозяйствования в повышении урожайности, внедрении новых культур в севооборот"</v>
      </c>
      <c r="B65" s="402"/>
      <c r="C65" s="402"/>
      <c r="D65" s="402"/>
      <c r="E65" s="400">
        <v>7200400000</v>
      </c>
      <c r="F65" s="402"/>
      <c r="G65" s="396"/>
      <c r="H65" s="401">
        <f t="shared" ref="H65:M65" si="18">H66</f>
        <v>600</v>
      </c>
      <c r="I65" s="401">
        <f t="shared" si="18"/>
        <v>0</v>
      </c>
      <c r="J65" s="401">
        <f t="shared" si="18"/>
        <v>600</v>
      </c>
      <c r="K65" s="401">
        <f t="shared" si="18"/>
        <v>0</v>
      </c>
      <c r="L65" s="401">
        <f t="shared" si="18"/>
        <v>0</v>
      </c>
      <c r="M65" s="401">
        <f t="shared" si="18"/>
        <v>0</v>
      </c>
      <c r="N65" s="142"/>
    </row>
    <row r="66" spans="1:20" ht="20.25" customHeight="1" x14ac:dyDescent="0.2">
      <c r="A66" s="408" t="s">
        <v>968</v>
      </c>
      <c r="B66" s="402"/>
      <c r="C66" s="402"/>
      <c r="D66" s="402"/>
      <c r="E66" s="400">
        <v>7200400000</v>
      </c>
      <c r="F66" s="402"/>
      <c r="G66" s="396">
        <v>922</v>
      </c>
      <c r="H66" s="401">
        <f>'ведом 2024 пр.4'!G87</f>
        <v>600</v>
      </c>
      <c r="I66" s="401">
        <f>'ведом 2024 пр.4'!H87</f>
        <v>0</v>
      </c>
      <c r="J66" s="401">
        <f>'ведом 2024 пр.4'!I87</f>
        <v>600</v>
      </c>
      <c r="K66" s="401">
        <f>'ведом 2024 пр.4'!J87</f>
        <v>0</v>
      </c>
      <c r="L66" s="401">
        <f>'ведом 2024 пр.4'!K87</f>
        <v>0</v>
      </c>
      <c r="M66" s="401">
        <f>'ведом 2024 пр.4'!L87</f>
        <v>0</v>
      </c>
      <c r="N66" s="142"/>
    </row>
    <row r="67" spans="1:20" ht="20.25" customHeight="1" x14ac:dyDescent="0.2">
      <c r="A67" s="406" t="str">
        <f>'ведом 2024 пр.4'!A90</f>
        <v>Основное мероприятие "Содействие хозяйствам всех форм собственности в приобретении племенных животных"</v>
      </c>
      <c r="B67" s="402"/>
      <c r="C67" s="402"/>
      <c r="D67" s="402"/>
      <c r="E67" s="400">
        <v>7200500000</v>
      </c>
      <c r="F67" s="402"/>
      <c r="G67" s="396"/>
      <c r="H67" s="401">
        <f t="shared" ref="H67:M67" si="19">H68</f>
        <v>500</v>
      </c>
      <c r="I67" s="401">
        <f t="shared" si="19"/>
        <v>0</v>
      </c>
      <c r="J67" s="401">
        <f t="shared" si="19"/>
        <v>780</v>
      </c>
      <c r="K67" s="401">
        <f t="shared" si="19"/>
        <v>0</v>
      </c>
      <c r="L67" s="401">
        <f t="shared" si="19"/>
        <v>280</v>
      </c>
      <c r="M67" s="401">
        <f t="shared" si="19"/>
        <v>0</v>
      </c>
      <c r="N67" s="142"/>
    </row>
    <row r="68" spans="1:20" ht="20.25" customHeight="1" x14ac:dyDescent="0.2">
      <c r="A68" s="408" t="s">
        <v>968</v>
      </c>
      <c r="B68" s="402"/>
      <c r="C68" s="402"/>
      <c r="D68" s="402"/>
      <c r="E68" s="400">
        <v>7200500000</v>
      </c>
      <c r="F68" s="402"/>
      <c r="G68" s="396">
        <v>922</v>
      </c>
      <c r="H68" s="401">
        <f>'ведом 2024 пр.4'!G90</f>
        <v>500</v>
      </c>
      <c r="I68" s="401">
        <f>'ведом 2024 пр.4'!H90</f>
        <v>0</v>
      </c>
      <c r="J68" s="401">
        <f>'ведом 2024 пр.4'!I90</f>
        <v>780</v>
      </c>
      <c r="K68" s="401">
        <f>'ведом 2024 пр.4'!J90</f>
        <v>0</v>
      </c>
      <c r="L68" s="401">
        <f>'ведом 2024 пр.4'!K90</f>
        <v>280</v>
      </c>
      <c r="M68" s="401">
        <f>'ведом 2024 пр.4'!L90</f>
        <v>0</v>
      </c>
      <c r="N68" s="142"/>
    </row>
    <row r="69" spans="1:20" ht="20.25" hidden="1" customHeight="1" x14ac:dyDescent="0.2">
      <c r="A69" s="406" t="str">
        <f>'ведом 2024 пр.4'!A94</f>
        <v>Основное мероприятие "Реализация проекта "Захааминай малшад-нютагай баялиг (Закамна - край крепких фермеров)"</v>
      </c>
      <c r="B69" s="402"/>
      <c r="C69" s="402"/>
      <c r="D69" s="402"/>
      <c r="E69" s="400">
        <v>7200600000</v>
      </c>
      <c r="F69" s="402"/>
      <c r="G69" s="396"/>
      <c r="H69" s="401">
        <f t="shared" ref="H69:M69" si="20">H70</f>
        <v>0</v>
      </c>
      <c r="I69" s="401">
        <f t="shared" si="20"/>
        <v>0</v>
      </c>
      <c r="J69" s="401">
        <f t="shared" si="20"/>
        <v>0</v>
      </c>
      <c r="K69" s="401">
        <f t="shared" si="20"/>
        <v>0</v>
      </c>
      <c r="L69" s="401">
        <f t="shared" si="20"/>
        <v>0</v>
      </c>
      <c r="M69" s="401">
        <f t="shared" si="20"/>
        <v>0</v>
      </c>
      <c r="N69" s="142"/>
    </row>
    <row r="70" spans="1:20" ht="20.25" hidden="1" customHeight="1" x14ac:dyDescent="0.2">
      <c r="A70" s="408" t="s">
        <v>968</v>
      </c>
      <c r="B70" s="402"/>
      <c r="C70" s="402"/>
      <c r="D70" s="402"/>
      <c r="E70" s="400">
        <v>7200600000</v>
      </c>
      <c r="F70" s="402"/>
      <c r="G70" s="396">
        <v>922</v>
      </c>
      <c r="H70" s="401">
        <f>'ведом 2024 пр.4'!G94</f>
        <v>0</v>
      </c>
      <c r="I70" s="401">
        <f>'ведом 2024 пр.4'!H94</f>
        <v>0</v>
      </c>
      <c r="J70" s="401">
        <f>'ведом 2024 пр.4'!I94</f>
        <v>0</v>
      </c>
      <c r="K70" s="401">
        <f>'ведом 2024 пр.4'!J94</f>
        <v>0</v>
      </c>
      <c r="L70" s="401">
        <f>'ведом 2024 пр.4'!K94</f>
        <v>0</v>
      </c>
      <c r="M70" s="401">
        <f>'ведом 2024 пр.4'!L94</f>
        <v>0</v>
      </c>
      <c r="N70" s="142"/>
    </row>
    <row r="71" spans="1:20" ht="20.25" customHeight="1" x14ac:dyDescent="0.2">
      <c r="A71" s="406" t="str">
        <f>'ведом 2024 пр.4'!A97</f>
        <v>Основное мероприятие "Проведение мероприятий в рамках Дня работников сельского хозяйства и перерабатывающей промышленности"</v>
      </c>
      <c r="B71" s="402"/>
      <c r="C71" s="402"/>
      <c r="D71" s="402"/>
      <c r="E71" s="400">
        <v>7200700000</v>
      </c>
      <c r="F71" s="402"/>
      <c r="G71" s="396"/>
      <c r="H71" s="401">
        <f t="shared" ref="H71:M71" si="21">H72</f>
        <v>0</v>
      </c>
      <c r="I71" s="401">
        <f t="shared" si="21"/>
        <v>0</v>
      </c>
      <c r="J71" s="401">
        <f t="shared" si="21"/>
        <v>240</v>
      </c>
      <c r="K71" s="401">
        <f t="shared" si="21"/>
        <v>0</v>
      </c>
      <c r="L71" s="401">
        <f t="shared" si="21"/>
        <v>240</v>
      </c>
      <c r="M71" s="401">
        <f t="shared" si="21"/>
        <v>0</v>
      </c>
      <c r="N71" s="142"/>
    </row>
    <row r="72" spans="1:20" ht="20.25" customHeight="1" x14ac:dyDescent="0.2">
      <c r="A72" s="408" t="s">
        <v>968</v>
      </c>
      <c r="B72" s="402"/>
      <c r="C72" s="402"/>
      <c r="D72" s="402"/>
      <c r="E72" s="400">
        <v>7200700000</v>
      </c>
      <c r="F72" s="402"/>
      <c r="G72" s="396">
        <v>922</v>
      </c>
      <c r="H72" s="401">
        <f>'ведом 2024 пр.4'!G97</f>
        <v>0</v>
      </c>
      <c r="I72" s="401">
        <f>'ведом 2024 пр.4'!H97</f>
        <v>0</v>
      </c>
      <c r="J72" s="401">
        <f>'ведом 2024 пр.4'!I97</f>
        <v>240</v>
      </c>
      <c r="K72" s="401">
        <f>'ведом 2024 пр.4'!J97</f>
        <v>0</v>
      </c>
      <c r="L72" s="401">
        <f>'ведом 2024 пр.4'!K97</f>
        <v>240</v>
      </c>
      <c r="M72" s="401">
        <f>'ведом 2024 пр.4'!L97</f>
        <v>0</v>
      </c>
      <c r="N72" s="142"/>
    </row>
    <row r="73" spans="1:20" s="116" customFormat="1" ht="14.25" x14ac:dyDescent="0.2">
      <c r="A73" s="555" t="s">
        <v>318</v>
      </c>
      <c r="B73" s="394"/>
      <c r="C73" s="394"/>
      <c r="D73" s="394"/>
      <c r="E73" s="559">
        <v>7300000000</v>
      </c>
      <c r="F73" s="394"/>
      <c r="G73" s="557"/>
      <c r="H73" s="560">
        <f t="shared" ref="H73:M73" si="22">H74+H99+H83</f>
        <v>81287.296220000004</v>
      </c>
      <c r="I73" s="560">
        <f t="shared" si="22"/>
        <v>1239.0030099999999</v>
      </c>
      <c r="J73" s="560">
        <f t="shared" si="22"/>
        <v>100044.09818</v>
      </c>
      <c r="K73" s="560">
        <f t="shared" si="22"/>
        <v>1239.0030099999999</v>
      </c>
      <c r="L73" s="560">
        <f t="shared" si="22"/>
        <v>18756.801959999993</v>
      </c>
      <c r="M73" s="560">
        <f t="shared" si="22"/>
        <v>0</v>
      </c>
      <c r="N73" s="190">
        <f>H73-'ведом 2024 пр.4'!G2382</f>
        <v>0</v>
      </c>
      <c r="O73" s="190">
        <f>I73-'ведом 2024 пр.4'!H2382</f>
        <v>0</v>
      </c>
      <c r="P73" s="190">
        <f>J73-'ведом 2024 пр.4'!I2382</f>
        <v>0</v>
      </c>
      <c r="Q73" s="190">
        <f>K73-'ведом 2024 пр.4'!J2382</f>
        <v>0</v>
      </c>
      <c r="R73" s="190"/>
      <c r="S73" s="190"/>
      <c r="T73" s="190"/>
    </row>
    <row r="74" spans="1:20" ht="30" x14ac:dyDescent="0.2">
      <c r="A74" s="408" t="s">
        <v>506</v>
      </c>
      <c r="B74" s="402"/>
      <c r="C74" s="402"/>
      <c r="D74" s="402"/>
      <c r="E74" s="403">
        <v>7310000000</v>
      </c>
      <c r="F74" s="402"/>
      <c r="G74" s="396"/>
      <c r="H74" s="405">
        <f t="shared" ref="H74:M74" si="23">H77+H79+H81+H75</f>
        <v>76853.434820000009</v>
      </c>
      <c r="I74" s="405">
        <f t="shared" si="23"/>
        <v>379.4</v>
      </c>
      <c r="J74" s="405">
        <f t="shared" si="23"/>
        <v>94602.98156</v>
      </c>
      <c r="K74" s="405">
        <f t="shared" si="23"/>
        <v>379.4</v>
      </c>
      <c r="L74" s="405">
        <f t="shared" si="23"/>
        <v>17749.546739999994</v>
      </c>
      <c r="M74" s="405">
        <f t="shared" si="23"/>
        <v>0</v>
      </c>
    </row>
    <row r="75" spans="1:20" ht="30" customHeight="1" x14ac:dyDescent="0.2">
      <c r="A75" s="406" t="str">
        <f>'ведом 2024 пр.4'!A755</f>
        <v>"Федеральный проект "Культурная среда"</v>
      </c>
      <c r="B75" s="406" t="str">
        <f>'ведом 2024 пр.4'!B755</f>
        <v>957</v>
      </c>
      <c r="C75" s="406" t="str">
        <f>'ведом 2024 пр.4'!C755</f>
        <v>14</v>
      </c>
      <c r="D75" s="406" t="str">
        <f>'ведом 2024 пр.4'!D755</f>
        <v>03</v>
      </c>
      <c r="E75" s="406" t="s">
        <v>1389</v>
      </c>
      <c r="F75" s="402"/>
      <c r="G75" s="396"/>
      <c r="H75" s="405">
        <f t="shared" ref="H75:M75" si="24">H76</f>
        <v>212.76595</v>
      </c>
      <c r="I75" s="405">
        <f t="shared" si="24"/>
        <v>200</v>
      </c>
      <c r="J75" s="405">
        <f t="shared" si="24"/>
        <v>212.76595</v>
      </c>
      <c r="K75" s="405">
        <f t="shared" si="24"/>
        <v>200</v>
      </c>
      <c r="L75" s="405">
        <f t="shared" si="24"/>
        <v>0</v>
      </c>
      <c r="M75" s="405">
        <f t="shared" si="24"/>
        <v>0</v>
      </c>
    </row>
    <row r="76" spans="1:20" ht="30" customHeight="1" x14ac:dyDescent="0.2">
      <c r="A76" s="408" t="s">
        <v>72</v>
      </c>
      <c r="B76" s="402"/>
      <c r="C76" s="402"/>
      <c r="D76" s="402"/>
      <c r="E76" s="473" t="str">
        <f>'ведом 2024 пр.4'!E755</f>
        <v>731А200000</v>
      </c>
      <c r="F76" s="402"/>
      <c r="G76" s="396">
        <v>957</v>
      </c>
      <c r="H76" s="405">
        <f>'ведом 2024 пр.4'!G755+'ведом 2024 пр.4'!G607</f>
        <v>212.76595</v>
      </c>
      <c r="I76" s="405">
        <f>'ведом 2024 пр.4'!H755+'ведом 2024 пр.4'!H607</f>
        <v>200</v>
      </c>
      <c r="J76" s="405">
        <f>'ведом 2024 пр.4'!I755+'ведом 2024 пр.4'!I607</f>
        <v>212.76595</v>
      </c>
      <c r="K76" s="405">
        <f>'ведом 2024 пр.4'!J755+'ведом 2024 пр.4'!J607</f>
        <v>200</v>
      </c>
      <c r="L76" s="405">
        <f>'ведом 2024 пр.4'!K755+'ведом 2024 пр.4'!K607</f>
        <v>0</v>
      </c>
      <c r="M76" s="405">
        <f>'ведом 2024 пр.4'!L755+'ведом 2024 пр.4'!L607</f>
        <v>0</v>
      </c>
    </row>
    <row r="77" spans="1:20" ht="30" x14ac:dyDescent="0.25">
      <c r="A77" s="433" t="s">
        <v>1336</v>
      </c>
      <c r="B77" s="402"/>
      <c r="C77" s="402"/>
      <c r="D77" s="402"/>
      <c r="E77" s="403">
        <v>7310100000</v>
      </c>
      <c r="F77" s="402"/>
      <c r="G77" s="396"/>
      <c r="H77" s="405">
        <f t="shared" ref="H77:M77" si="25">H78</f>
        <v>17891.007509999999</v>
      </c>
      <c r="I77" s="405">
        <f t="shared" si="25"/>
        <v>179.4</v>
      </c>
      <c r="J77" s="405">
        <f t="shared" si="25"/>
        <v>23366.499899999999</v>
      </c>
      <c r="K77" s="405">
        <f t="shared" si="25"/>
        <v>179.4</v>
      </c>
      <c r="L77" s="405">
        <f t="shared" si="25"/>
        <v>5475.4923899999994</v>
      </c>
      <c r="M77" s="405">
        <f t="shared" si="25"/>
        <v>0</v>
      </c>
    </row>
    <row r="78" spans="1:20" x14ac:dyDescent="0.2">
      <c r="A78" s="408" t="s">
        <v>72</v>
      </c>
      <c r="B78" s="402"/>
      <c r="C78" s="402"/>
      <c r="D78" s="402"/>
      <c r="E78" s="403">
        <v>7310100000</v>
      </c>
      <c r="F78" s="402"/>
      <c r="G78" s="396">
        <v>957</v>
      </c>
      <c r="H78" s="405">
        <f>'ведом 2024 пр.4'!G569</f>
        <v>17891.007509999999</v>
      </c>
      <c r="I78" s="405">
        <f>'ведом 2024 пр.4'!H569</f>
        <v>179.4</v>
      </c>
      <c r="J78" s="405">
        <f>'ведом 2024 пр.4'!I569</f>
        <v>23366.499899999999</v>
      </c>
      <c r="K78" s="405">
        <f>'ведом 2024 пр.4'!J569</f>
        <v>179.4</v>
      </c>
      <c r="L78" s="405">
        <f>'ведом 2024 пр.4'!K569</f>
        <v>5475.4923899999994</v>
      </c>
      <c r="M78" s="405">
        <f>'ведом 2024 пр.4'!L569</f>
        <v>0</v>
      </c>
    </row>
    <row r="79" spans="1:20" ht="30" x14ac:dyDescent="0.2">
      <c r="A79" s="408" t="s">
        <v>513</v>
      </c>
      <c r="B79" s="402"/>
      <c r="C79" s="402"/>
      <c r="D79" s="402"/>
      <c r="E79" s="403">
        <v>7310200000</v>
      </c>
      <c r="F79" s="402"/>
      <c r="G79" s="396"/>
      <c r="H79" s="405">
        <f t="shared" ref="H79:M79" si="26">H80</f>
        <v>19190.184000000001</v>
      </c>
      <c r="I79" s="405">
        <f t="shared" si="26"/>
        <v>0</v>
      </c>
      <c r="J79" s="405">
        <f t="shared" si="26"/>
        <v>23381.706000000002</v>
      </c>
      <c r="K79" s="405">
        <f t="shared" si="26"/>
        <v>0</v>
      </c>
      <c r="L79" s="405">
        <f t="shared" si="26"/>
        <v>4191.5220000000008</v>
      </c>
      <c r="M79" s="405">
        <f t="shared" si="26"/>
        <v>0</v>
      </c>
    </row>
    <row r="80" spans="1:20" x14ac:dyDescent="0.2">
      <c r="A80" s="408" t="s">
        <v>72</v>
      </c>
      <c r="B80" s="402"/>
      <c r="C80" s="402"/>
      <c r="D80" s="402"/>
      <c r="E80" s="403">
        <v>7310200000</v>
      </c>
      <c r="F80" s="402"/>
      <c r="G80" s="396">
        <v>957</v>
      </c>
      <c r="H80" s="405">
        <f>'ведом 2024 пр.4'!G538</f>
        <v>19190.184000000001</v>
      </c>
      <c r="I80" s="405">
        <f>'ведом 2024 пр.4'!H538</f>
        <v>0</v>
      </c>
      <c r="J80" s="405">
        <f>'ведом 2024 пр.4'!I538</f>
        <v>23381.706000000002</v>
      </c>
      <c r="K80" s="405">
        <f>'ведом 2024 пр.4'!J538</f>
        <v>0</v>
      </c>
      <c r="L80" s="405">
        <f>'ведом 2024 пр.4'!K538</f>
        <v>4191.5220000000008</v>
      </c>
      <c r="M80" s="405">
        <f>'ведом 2024 пр.4'!L538</f>
        <v>0</v>
      </c>
    </row>
    <row r="81" spans="1:13" x14ac:dyDescent="0.25">
      <c r="A81" s="434" t="s">
        <v>512</v>
      </c>
      <c r="B81" s="402"/>
      <c r="C81" s="402"/>
      <c r="D81" s="402"/>
      <c r="E81" s="403">
        <v>7310300000</v>
      </c>
      <c r="F81" s="402"/>
      <c r="G81" s="396"/>
      <c r="H81" s="405">
        <f t="shared" ref="H81:M81" si="27">H82</f>
        <v>39559.477360000004</v>
      </c>
      <c r="I81" s="405">
        <f t="shared" si="27"/>
        <v>0</v>
      </c>
      <c r="J81" s="405">
        <f t="shared" si="27"/>
        <v>47642.009709999998</v>
      </c>
      <c r="K81" s="405">
        <f t="shared" si="27"/>
        <v>0</v>
      </c>
      <c r="L81" s="405">
        <f t="shared" si="27"/>
        <v>8082.532349999994</v>
      </c>
      <c r="M81" s="405">
        <f t="shared" si="27"/>
        <v>0</v>
      </c>
    </row>
    <row r="82" spans="1:13" x14ac:dyDescent="0.2">
      <c r="A82" s="408" t="s">
        <v>72</v>
      </c>
      <c r="B82" s="402"/>
      <c r="C82" s="402"/>
      <c r="D82" s="402"/>
      <c r="E82" s="403">
        <v>7310300000</v>
      </c>
      <c r="F82" s="402"/>
      <c r="G82" s="396">
        <v>957</v>
      </c>
      <c r="H82" s="405">
        <f>'ведом 2024 пр.4'!G590+'ведом 2024 пр.4'!G749</f>
        <v>39559.477360000004</v>
      </c>
      <c r="I82" s="405">
        <f>'ведом 2024 пр.4'!H590+'ведом 2024 пр.4'!H749</f>
        <v>0</v>
      </c>
      <c r="J82" s="405">
        <f>'ведом 2024 пр.4'!I590+'ведом 2024 пр.4'!I749</f>
        <v>47642.009709999998</v>
      </c>
      <c r="K82" s="405">
        <f>'ведом 2024 пр.4'!J590+'ведом 2024 пр.4'!J749</f>
        <v>0</v>
      </c>
      <c r="L82" s="405">
        <f>'ведом 2024 пр.4'!K590+'ведом 2024 пр.4'!K749</f>
        <v>8082.532349999994</v>
      </c>
      <c r="M82" s="405">
        <f>'ведом 2024 пр.4'!L590+'ведом 2024 пр.4'!L749</f>
        <v>0</v>
      </c>
    </row>
    <row r="83" spans="1:13" ht="27.75" customHeight="1" x14ac:dyDescent="0.2">
      <c r="A83" s="408" t="str">
        <f>'ведом 2024 пр.4'!A611</f>
        <v>Подпрограмма "Совершенствование материально-технической базы муниципальных учреждений культуры Закаменского района"</v>
      </c>
      <c r="B83" s="402"/>
      <c r="C83" s="402"/>
      <c r="D83" s="402"/>
      <c r="E83" s="403">
        <v>7320000000</v>
      </c>
      <c r="F83" s="402"/>
      <c r="G83" s="396"/>
      <c r="H83" s="405">
        <f t="shared" ref="H83:M83" si="28">H84+H86+H88+H91+H95+H97+H93</f>
        <v>1040.1350600000001</v>
      </c>
      <c r="I83" s="405">
        <f t="shared" si="28"/>
        <v>859.60301000000004</v>
      </c>
      <c r="J83" s="405">
        <f t="shared" si="28"/>
        <v>1040.1350600000001</v>
      </c>
      <c r="K83" s="405">
        <f t="shared" si="28"/>
        <v>859.60301000000004</v>
      </c>
      <c r="L83" s="405">
        <f t="shared" si="28"/>
        <v>0</v>
      </c>
      <c r="M83" s="405">
        <f t="shared" si="28"/>
        <v>0</v>
      </c>
    </row>
    <row r="84" spans="1:13" ht="27.75" customHeight="1" x14ac:dyDescent="0.2">
      <c r="A84" s="503" t="str">
        <f>'ведом 2024 пр.4'!A759</f>
        <v xml:space="preserve"> Основное мероприятие "Материально-техническое обеспечение муниципальных учреждений культуры Закаменского района"</v>
      </c>
      <c r="B84" s="402"/>
      <c r="C84" s="402"/>
      <c r="D84" s="402"/>
      <c r="E84" s="428">
        <v>7320100000</v>
      </c>
      <c r="F84" s="402"/>
      <c r="G84" s="430"/>
      <c r="H84" s="429">
        <f t="shared" ref="H84:M84" si="29">H85</f>
        <v>1040.1350600000001</v>
      </c>
      <c r="I84" s="429">
        <f t="shared" si="29"/>
        <v>859.60301000000004</v>
      </c>
      <c r="J84" s="429">
        <f t="shared" si="29"/>
        <v>1040.1350600000001</v>
      </c>
      <c r="K84" s="429">
        <f t="shared" si="29"/>
        <v>859.60301000000004</v>
      </c>
      <c r="L84" s="429">
        <f t="shared" si="29"/>
        <v>0</v>
      </c>
      <c r="M84" s="429">
        <f t="shared" si="29"/>
        <v>0</v>
      </c>
    </row>
    <row r="85" spans="1:13" ht="27.75" customHeight="1" x14ac:dyDescent="0.2">
      <c r="A85" s="427" t="s">
        <v>72</v>
      </c>
      <c r="B85" s="402"/>
      <c r="C85" s="402"/>
      <c r="D85" s="402"/>
      <c r="E85" s="428">
        <v>7320100000</v>
      </c>
      <c r="F85" s="402"/>
      <c r="G85" s="430">
        <v>957</v>
      </c>
      <c r="H85" s="429">
        <f>'ведом 2024 пр.4'!G759+'ведом 2024 пр.4'!G612</f>
        <v>1040.1350600000001</v>
      </c>
      <c r="I85" s="429">
        <f>'ведом 2024 пр.4'!H759+'ведом 2024 пр.4'!H612</f>
        <v>859.60301000000004</v>
      </c>
      <c r="J85" s="429">
        <f>'ведом 2024 пр.4'!I759+'ведом 2024 пр.4'!I612</f>
        <v>1040.1350600000001</v>
      </c>
      <c r="K85" s="429">
        <f>'ведом 2024 пр.4'!J759+'ведом 2024 пр.4'!J612</f>
        <v>859.60301000000004</v>
      </c>
      <c r="L85" s="429">
        <f>'ведом 2024 пр.4'!K759+'ведом 2024 пр.4'!K612</f>
        <v>0</v>
      </c>
      <c r="M85" s="429">
        <f>'ведом 2024 пр.4'!L759+'ведом 2024 пр.4'!L612</f>
        <v>0</v>
      </c>
    </row>
    <row r="86" spans="1:13" ht="27.75" hidden="1" customHeight="1" x14ac:dyDescent="0.2">
      <c r="A86" s="408" t="str">
        <f>'ведом 2024 пр.4'!A552</f>
        <v>Основное мероприятие "Материально-техническое обеспечение МАОУ ДОД "Закамеская ДШИ""</v>
      </c>
      <c r="B86" s="402"/>
      <c r="C86" s="402"/>
      <c r="D86" s="402"/>
      <c r="E86" s="403">
        <v>7320200000</v>
      </c>
      <c r="F86" s="402"/>
      <c r="G86" s="396"/>
      <c r="H86" s="405">
        <f t="shared" ref="H86:M86" si="30">H87</f>
        <v>0</v>
      </c>
      <c r="I86" s="405">
        <f t="shared" si="30"/>
        <v>0</v>
      </c>
      <c r="J86" s="405">
        <f t="shared" si="30"/>
        <v>0</v>
      </c>
      <c r="K86" s="405">
        <f t="shared" si="30"/>
        <v>0</v>
      </c>
      <c r="L86" s="405">
        <f t="shared" si="30"/>
        <v>0</v>
      </c>
      <c r="M86" s="405">
        <f t="shared" si="30"/>
        <v>0</v>
      </c>
    </row>
    <row r="87" spans="1:13" ht="27.75" hidden="1" customHeight="1" x14ac:dyDescent="0.2">
      <c r="A87" s="408" t="s">
        <v>72</v>
      </c>
      <c r="B87" s="402"/>
      <c r="C87" s="402"/>
      <c r="D87" s="402"/>
      <c r="E87" s="403">
        <v>7320200000</v>
      </c>
      <c r="F87" s="402"/>
      <c r="G87" s="396">
        <v>957</v>
      </c>
      <c r="H87" s="405">
        <f>'ведом 2024 пр.4'!G553</f>
        <v>0</v>
      </c>
      <c r="I87" s="405">
        <f>'ведом 2024 пр.4'!H553</f>
        <v>0</v>
      </c>
      <c r="J87" s="405">
        <f>'ведом 2024 пр.4'!I553</f>
        <v>0</v>
      </c>
      <c r="K87" s="405">
        <f>'ведом 2024 пр.4'!J553</f>
        <v>0</v>
      </c>
      <c r="L87" s="405">
        <f>'ведом 2024 пр.4'!K553</f>
        <v>0</v>
      </c>
      <c r="M87" s="405">
        <f>'ведом 2024 пр.4'!L553</f>
        <v>0</v>
      </c>
    </row>
    <row r="88" spans="1:13" ht="27.75" hidden="1" customHeight="1" x14ac:dyDescent="0.2">
      <c r="A88" s="408" t="str">
        <f>'ведом 2024 пр.4'!A749</f>
        <v>Основное мероприятие "Повышение востребованности среди населения культурных  услуг"</v>
      </c>
      <c r="B88" s="402"/>
      <c r="C88" s="402"/>
      <c r="D88" s="402"/>
      <c r="E88" s="403">
        <v>7320300000</v>
      </c>
      <c r="F88" s="402"/>
      <c r="G88" s="396"/>
      <c r="H88" s="405">
        <f t="shared" ref="H88:M88" si="31">H89+H90</f>
        <v>0</v>
      </c>
      <c r="I88" s="405">
        <f t="shared" si="31"/>
        <v>0</v>
      </c>
      <c r="J88" s="405">
        <f t="shared" si="31"/>
        <v>0</v>
      </c>
      <c r="K88" s="405">
        <f t="shared" si="31"/>
        <v>0</v>
      </c>
      <c r="L88" s="405">
        <f t="shared" si="31"/>
        <v>0</v>
      </c>
      <c r="M88" s="405">
        <f t="shared" si="31"/>
        <v>0</v>
      </c>
    </row>
    <row r="89" spans="1:13" ht="27.75" hidden="1" customHeight="1" x14ac:dyDescent="0.2">
      <c r="A89" s="408" t="s">
        <v>72</v>
      </c>
      <c r="B89" s="402"/>
      <c r="C89" s="402"/>
      <c r="D89" s="402"/>
      <c r="E89" s="403">
        <v>7320300000</v>
      </c>
      <c r="F89" s="402"/>
      <c r="G89" s="396">
        <v>957</v>
      </c>
      <c r="H89" s="405">
        <f>'ведом 2024 пр.4'!G762</f>
        <v>0</v>
      </c>
      <c r="I89" s="405">
        <f>'ведом 2024 пр.4'!H762</f>
        <v>0</v>
      </c>
      <c r="J89" s="405">
        <f>'ведом 2024 пр.4'!I762</f>
        <v>0</v>
      </c>
      <c r="K89" s="405">
        <f>'ведом 2024 пр.4'!J762</f>
        <v>0</v>
      </c>
      <c r="L89" s="405">
        <f>'ведом 2024 пр.4'!K762</f>
        <v>0</v>
      </c>
      <c r="M89" s="405">
        <f>'ведом 2024 пр.4'!L762</f>
        <v>0</v>
      </c>
    </row>
    <row r="90" spans="1:13" ht="27.75" hidden="1" customHeight="1" x14ac:dyDescent="0.2">
      <c r="A90" s="408" t="s">
        <v>228</v>
      </c>
      <c r="B90" s="402"/>
      <c r="C90" s="402"/>
      <c r="D90" s="402"/>
      <c r="E90" s="403">
        <v>7320300000</v>
      </c>
      <c r="F90" s="402"/>
      <c r="G90" s="396">
        <v>961</v>
      </c>
      <c r="H90" s="405">
        <f>'ведом 2024 пр.4'!G2177</f>
        <v>0</v>
      </c>
      <c r="I90" s="405">
        <f>'ведом 2024 пр.4'!H2177</f>
        <v>0</v>
      </c>
      <c r="J90" s="405">
        <f>'ведом 2024 пр.4'!I2177</f>
        <v>0</v>
      </c>
      <c r="K90" s="405">
        <f>'ведом 2024 пр.4'!J2177</f>
        <v>0</v>
      </c>
      <c r="L90" s="405">
        <f>'ведом 2024 пр.4'!K2177</f>
        <v>0</v>
      </c>
      <c r="M90" s="405">
        <f>'ведом 2024 пр.4'!L2177</f>
        <v>0</v>
      </c>
    </row>
    <row r="91" spans="1:13" ht="27.75" hidden="1" customHeight="1" x14ac:dyDescent="0.2">
      <c r="A91" s="406" t="str">
        <f>'ведом 2024 пр.4'!A765</f>
        <v>Основное мероприятие "Реконструкция и строительство объектов учреждений культуры"</v>
      </c>
      <c r="B91" s="402"/>
      <c r="C91" s="402"/>
      <c r="D91" s="402"/>
      <c r="E91" s="403">
        <v>7320500000</v>
      </c>
      <c r="F91" s="402"/>
      <c r="G91" s="396"/>
      <c r="H91" s="405">
        <f t="shared" ref="H91:M91" si="32">H92</f>
        <v>0</v>
      </c>
      <c r="I91" s="405">
        <f t="shared" si="32"/>
        <v>0</v>
      </c>
      <c r="J91" s="405">
        <f t="shared" si="32"/>
        <v>0</v>
      </c>
      <c r="K91" s="405">
        <f t="shared" si="32"/>
        <v>0</v>
      </c>
      <c r="L91" s="405">
        <f t="shared" si="32"/>
        <v>0</v>
      </c>
      <c r="M91" s="405">
        <f t="shared" si="32"/>
        <v>0</v>
      </c>
    </row>
    <row r="92" spans="1:13" ht="27.75" hidden="1" customHeight="1" x14ac:dyDescent="0.2">
      <c r="A92" s="408" t="s">
        <v>72</v>
      </c>
      <c r="B92" s="402"/>
      <c r="C92" s="402"/>
      <c r="D92" s="402"/>
      <c r="E92" s="403">
        <v>7320500000</v>
      </c>
      <c r="F92" s="402"/>
      <c r="G92" s="396">
        <v>957</v>
      </c>
      <c r="H92" s="405">
        <f>'ведом 2024 пр.4'!G765+'ведом 2024 пр.4'!G692</f>
        <v>0</v>
      </c>
      <c r="I92" s="405">
        <f>'ведом 2024 пр.4'!H765+'ведом 2024 пр.4'!H692</f>
        <v>0</v>
      </c>
      <c r="J92" s="405">
        <f>'ведом 2024 пр.4'!I765+'ведом 2024 пр.4'!I692</f>
        <v>0</v>
      </c>
      <c r="K92" s="405">
        <f>'ведом 2024 пр.4'!J765+'ведом 2024 пр.4'!J692</f>
        <v>0</v>
      </c>
      <c r="L92" s="405">
        <f>'ведом 2024 пр.4'!K765+'ведом 2024 пр.4'!K692</f>
        <v>0</v>
      </c>
      <c r="M92" s="405">
        <f>'ведом 2024 пр.4'!L765+'ведом 2024 пр.4'!L692</f>
        <v>0</v>
      </c>
    </row>
    <row r="93" spans="1:13" ht="27.75" hidden="1" customHeight="1" x14ac:dyDescent="0.2">
      <c r="A93" s="406" t="str">
        <f>'ведом 2024 пр.4'!A621</f>
        <v>Основное мероприятие "Подготовка и проведение празднования на федеральном уровне памятных дат субъектов Российской Федерации"</v>
      </c>
      <c r="B93" s="402"/>
      <c r="C93" s="402"/>
      <c r="D93" s="402"/>
      <c r="E93" s="403">
        <v>7321100000</v>
      </c>
      <c r="F93" s="402"/>
      <c r="G93" s="396"/>
      <c r="H93" s="405">
        <f t="shared" ref="H93:M93" si="33">H94</f>
        <v>0</v>
      </c>
      <c r="I93" s="405">
        <f t="shared" si="33"/>
        <v>0</v>
      </c>
      <c r="J93" s="405">
        <f t="shared" si="33"/>
        <v>0</v>
      </c>
      <c r="K93" s="405">
        <f t="shared" si="33"/>
        <v>0</v>
      </c>
      <c r="L93" s="405">
        <f t="shared" si="33"/>
        <v>0</v>
      </c>
      <c r="M93" s="405">
        <f t="shared" si="33"/>
        <v>0</v>
      </c>
    </row>
    <row r="94" spans="1:13" ht="27.75" hidden="1" customHeight="1" x14ac:dyDescent="0.2">
      <c r="A94" s="408" t="s">
        <v>72</v>
      </c>
      <c r="B94" s="402"/>
      <c r="C94" s="402"/>
      <c r="D94" s="402"/>
      <c r="E94" s="403">
        <v>7321100000</v>
      </c>
      <c r="F94" s="402"/>
      <c r="G94" s="396">
        <v>957</v>
      </c>
      <c r="H94" s="405">
        <f>'ведом 2024 пр.4'!G623</f>
        <v>0</v>
      </c>
      <c r="I94" s="405">
        <f>'ведом 2024 пр.4'!H623</f>
        <v>0</v>
      </c>
      <c r="J94" s="405">
        <f>'ведом 2024 пр.4'!I623</f>
        <v>0</v>
      </c>
      <c r="K94" s="405">
        <f>'ведом 2024 пр.4'!J623</f>
        <v>0</v>
      </c>
      <c r="L94" s="405">
        <f>'ведом 2024 пр.4'!K623</f>
        <v>0</v>
      </c>
      <c r="M94" s="405">
        <f>'ведом 2024 пр.4'!L623</f>
        <v>0</v>
      </c>
    </row>
    <row r="95" spans="1:13" ht="18" hidden="1" customHeight="1" x14ac:dyDescent="0.2">
      <c r="A95" s="406" t="str">
        <f>'ведом 2024 пр.4'!A769</f>
        <v>"Федеральный проект "Культурная среда"</v>
      </c>
      <c r="B95" s="402"/>
      <c r="C95" s="402"/>
      <c r="D95" s="402"/>
      <c r="E95" s="403" t="s">
        <v>1066</v>
      </c>
      <c r="F95" s="402"/>
      <c r="G95" s="396"/>
      <c r="H95" s="405">
        <f t="shared" ref="H95:M95" si="34">H96</f>
        <v>0</v>
      </c>
      <c r="I95" s="405">
        <f t="shared" si="34"/>
        <v>0</v>
      </c>
      <c r="J95" s="405">
        <f t="shared" si="34"/>
        <v>0</v>
      </c>
      <c r="K95" s="405">
        <f t="shared" si="34"/>
        <v>0</v>
      </c>
      <c r="L95" s="405">
        <f t="shared" si="34"/>
        <v>0</v>
      </c>
      <c r="M95" s="405">
        <f t="shared" si="34"/>
        <v>0</v>
      </c>
    </row>
    <row r="96" spans="1:13" ht="27.75" hidden="1" customHeight="1" x14ac:dyDescent="0.2">
      <c r="A96" s="408" t="s">
        <v>72</v>
      </c>
      <c r="B96" s="402"/>
      <c r="C96" s="402"/>
      <c r="D96" s="402"/>
      <c r="E96" s="403" t="s">
        <v>1066</v>
      </c>
      <c r="F96" s="402"/>
      <c r="G96" s="396">
        <v>957</v>
      </c>
      <c r="H96" s="405">
        <f>'ведом 2024 пр.4'!G625+'ведом 2024 пр.4'!G769</f>
        <v>0</v>
      </c>
      <c r="I96" s="405">
        <f>'ведом 2024 пр.4'!H625+'ведом 2024 пр.4'!H769</f>
        <v>0</v>
      </c>
      <c r="J96" s="405">
        <f>'ведом 2024 пр.4'!I625+'ведом 2024 пр.4'!I769</f>
        <v>0</v>
      </c>
      <c r="K96" s="405">
        <f>'ведом 2024 пр.4'!J625+'ведом 2024 пр.4'!J769</f>
        <v>0</v>
      </c>
      <c r="L96" s="405">
        <f>'ведом 2024 пр.4'!K625+'ведом 2024 пр.4'!K769</f>
        <v>0</v>
      </c>
      <c r="M96" s="405">
        <f>'ведом 2024 пр.4'!L625+'ведом 2024 пр.4'!L769</f>
        <v>0</v>
      </c>
    </row>
    <row r="97" spans="1:19" ht="27.75" hidden="1" customHeight="1" x14ac:dyDescent="0.2">
      <c r="A97" s="406" t="str">
        <f>'ведом 2024 пр.4'!A631</f>
        <v>"Федеральный проект "Цифровая культура"</v>
      </c>
      <c r="B97" s="402"/>
      <c r="C97" s="402"/>
      <c r="D97" s="402"/>
      <c r="E97" s="403" t="s">
        <v>1264</v>
      </c>
      <c r="F97" s="402"/>
      <c r="G97" s="396"/>
      <c r="H97" s="405">
        <f t="shared" ref="H97:M97" si="35">H98</f>
        <v>0</v>
      </c>
      <c r="I97" s="405">
        <f t="shared" si="35"/>
        <v>0</v>
      </c>
      <c r="J97" s="405">
        <f t="shared" si="35"/>
        <v>0</v>
      </c>
      <c r="K97" s="405">
        <f t="shared" si="35"/>
        <v>0</v>
      </c>
      <c r="L97" s="405">
        <f t="shared" si="35"/>
        <v>0</v>
      </c>
      <c r="M97" s="405">
        <f t="shared" si="35"/>
        <v>0</v>
      </c>
    </row>
    <row r="98" spans="1:19" ht="27.75" hidden="1" customHeight="1" x14ac:dyDescent="0.2">
      <c r="A98" s="408" t="s">
        <v>72</v>
      </c>
      <c r="B98" s="402"/>
      <c r="C98" s="402"/>
      <c r="D98" s="402"/>
      <c r="E98" s="403" t="s">
        <v>1264</v>
      </c>
      <c r="F98" s="402"/>
      <c r="G98" s="396">
        <v>957</v>
      </c>
      <c r="H98" s="405">
        <f>'ведом 2024 пр.4'!G631</f>
        <v>0</v>
      </c>
      <c r="I98" s="405">
        <f>'ведом 2024 пр.4'!H631</f>
        <v>0</v>
      </c>
      <c r="J98" s="405">
        <f>'ведом 2024 пр.4'!I631</f>
        <v>0</v>
      </c>
      <c r="K98" s="405">
        <f>'ведом 2024 пр.4'!J631</f>
        <v>0</v>
      </c>
      <c r="L98" s="405">
        <f>'ведом 2024 пр.4'!K631</f>
        <v>0</v>
      </c>
      <c r="M98" s="405">
        <f>'ведом 2024 пр.4'!L631</f>
        <v>0</v>
      </c>
    </row>
    <row r="99" spans="1:19" x14ac:dyDescent="0.2">
      <c r="A99" s="408" t="s">
        <v>507</v>
      </c>
      <c r="B99" s="402"/>
      <c r="C99" s="402"/>
      <c r="D99" s="402"/>
      <c r="E99" s="403">
        <v>7330000000</v>
      </c>
      <c r="F99" s="402"/>
      <c r="G99" s="396"/>
      <c r="H99" s="405">
        <f t="shared" ref="H99:M99" si="36">H100</f>
        <v>3393.7263400000002</v>
      </c>
      <c r="I99" s="405">
        <f t="shared" si="36"/>
        <v>0</v>
      </c>
      <c r="J99" s="405">
        <f t="shared" si="36"/>
        <v>4400.9815600000002</v>
      </c>
      <c r="K99" s="405">
        <f t="shared" si="36"/>
        <v>0</v>
      </c>
      <c r="L99" s="405">
        <f t="shared" si="36"/>
        <v>1007.25522</v>
      </c>
      <c r="M99" s="405">
        <f t="shared" si="36"/>
        <v>0</v>
      </c>
    </row>
    <row r="100" spans="1:19" x14ac:dyDescent="0.2">
      <c r="A100" s="408" t="s">
        <v>514</v>
      </c>
      <c r="B100" s="402"/>
      <c r="C100" s="402"/>
      <c r="D100" s="402"/>
      <c r="E100" s="403">
        <v>7330100000</v>
      </c>
      <c r="F100" s="402"/>
      <c r="G100" s="396"/>
      <c r="H100" s="405">
        <f t="shared" ref="H100:M100" si="37">H101</f>
        <v>3393.7263400000002</v>
      </c>
      <c r="I100" s="405">
        <f t="shared" si="37"/>
        <v>0</v>
      </c>
      <c r="J100" s="405">
        <f t="shared" si="37"/>
        <v>4400.9815600000002</v>
      </c>
      <c r="K100" s="405">
        <f t="shared" si="37"/>
        <v>0</v>
      </c>
      <c r="L100" s="405">
        <f t="shared" si="37"/>
        <v>1007.25522</v>
      </c>
      <c r="M100" s="405">
        <f t="shared" si="37"/>
        <v>0</v>
      </c>
    </row>
    <row r="101" spans="1:19" x14ac:dyDescent="0.2">
      <c r="A101" s="408" t="s">
        <v>72</v>
      </c>
      <c r="B101" s="402"/>
      <c r="C101" s="402"/>
      <c r="D101" s="402"/>
      <c r="E101" s="403">
        <v>7330100000</v>
      </c>
      <c r="F101" s="402"/>
      <c r="G101" s="396">
        <v>957</v>
      </c>
      <c r="H101" s="405">
        <f>'ведом 2024 пр.4'!G696</f>
        <v>3393.7263400000002</v>
      </c>
      <c r="I101" s="405">
        <f>'ведом 2024 пр.4'!H696</f>
        <v>0</v>
      </c>
      <c r="J101" s="405">
        <f>'ведом 2024 пр.4'!I696</f>
        <v>4400.9815600000002</v>
      </c>
      <c r="K101" s="405">
        <f>'ведом 2024 пр.4'!J696</f>
        <v>0</v>
      </c>
      <c r="L101" s="405">
        <f>'ведом 2024 пр.4'!K696</f>
        <v>1007.25522</v>
      </c>
      <c r="M101" s="405">
        <f>'ведом 2024 пр.4'!L696</f>
        <v>0</v>
      </c>
    </row>
    <row r="102" spans="1:19" s="116" customFormat="1" ht="28.5" x14ac:dyDescent="0.2">
      <c r="A102" s="555" t="s">
        <v>679</v>
      </c>
      <c r="B102" s="394"/>
      <c r="C102" s="394"/>
      <c r="D102" s="394"/>
      <c r="E102" s="559">
        <v>7400000000</v>
      </c>
      <c r="F102" s="394"/>
      <c r="G102" s="561"/>
      <c r="H102" s="560">
        <f t="shared" ref="H102:M102" si="38">H105+H103</f>
        <v>900.14</v>
      </c>
      <c r="I102" s="560">
        <f t="shared" si="38"/>
        <v>812.28699999999992</v>
      </c>
      <c r="J102" s="560">
        <f t="shared" si="38"/>
        <v>900.14</v>
      </c>
      <c r="K102" s="560">
        <f t="shared" si="38"/>
        <v>812.28699999999992</v>
      </c>
      <c r="L102" s="560">
        <f t="shared" si="38"/>
        <v>0</v>
      </c>
      <c r="M102" s="560">
        <f t="shared" si="38"/>
        <v>0</v>
      </c>
      <c r="N102" s="552">
        <f>H102-'ведом 2024 пр.4'!G2383</f>
        <v>0</v>
      </c>
      <c r="O102" s="552">
        <f>I102-'ведом 2024 пр.4'!H2383</f>
        <v>0</v>
      </c>
      <c r="P102" s="552">
        <f>J102-'ведом 2024 пр.4'!I2383</f>
        <v>0</v>
      </c>
      <c r="Q102" s="552">
        <f>K102-'ведом 2024 пр.4'!J2383</f>
        <v>0</v>
      </c>
      <c r="R102" s="190"/>
      <c r="S102" s="190"/>
    </row>
    <row r="103" spans="1:19" s="116" customFormat="1" ht="47.25" customHeight="1" x14ac:dyDescent="0.2">
      <c r="A103" s="406" t="str">
        <f>'ведом 2024 пр.4'!A886</f>
        <v>Основное мероприятие "Поддержка экономического и социального развития коренных малочисленных народов Севера, Сибири и Дальнего востока"</v>
      </c>
      <c r="B103" s="394"/>
      <c r="C103" s="394"/>
      <c r="D103" s="394"/>
      <c r="E103" s="403">
        <v>7400100000</v>
      </c>
      <c r="F103" s="394"/>
      <c r="G103" s="395"/>
      <c r="H103" s="405">
        <f t="shared" ref="H103:M103" si="39">H104</f>
        <v>900.14</v>
      </c>
      <c r="I103" s="405">
        <f t="shared" si="39"/>
        <v>812.28699999999992</v>
      </c>
      <c r="J103" s="405">
        <f t="shared" si="39"/>
        <v>900.14</v>
      </c>
      <c r="K103" s="405">
        <f t="shared" si="39"/>
        <v>812.28699999999992</v>
      </c>
      <c r="L103" s="405">
        <f t="shared" si="39"/>
        <v>0</v>
      </c>
      <c r="M103" s="405">
        <f t="shared" si="39"/>
        <v>0</v>
      </c>
      <c r="N103" s="190"/>
      <c r="O103" s="190"/>
      <c r="P103" s="190"/>
      <c r="Q103" s="190"/>
      <c r="R103" s="190"/>
      <c r="S103" s="190"/>
    </row>
    <row r="104" spans="1:19" s="116" customFormat="1" ht="18" customHeight="1" x14ac:dyDescent="0.2">
      <c r="A104" s="408" t="s">
        <v>74</v>
      </c>
      <c r="B104" s="394"/>
      <c r="C104" s="394"/>
      <c r="D104" s="394"/>
      <c r="E104" s="403">
        <v>7400100000</v>
      </c>
      <c r="F104" s="394"/>
      <c r="G104" s="396">
        <v>958</v>
      </c>
      <c r="H104" s="405">
        <f>'ведом 2024 пр.4'!G886</f>
        <v>900.14</v>
      </c>
      <c r="I104" s="405">
        <f>'ведом 2024 пр.4'!H886</f>
        <v>812.28699999999992</v>
      </c>
      <c r="J104" s="405">
        <f>'ведом 2024 пр.4'!I886</f>
        <v>900.14</v>
      </c>
      <c r="K104" s="405">
        <f>'ведом 2024 пр.4'!J886</f>
        <v>812.28699999999992</v>
      </c>
      <c r="L104" s="405">
        <f>'ведом 2024 пр.4'!K886</f>
        <v>0</v>
      </c>
      <c r="M104" s="405">
        <f>'ведом 2024 пр.4'!L886</f>
        <v>0</v>
      </c>
      <c r="N104" s="190"/>
      <c r="O104" s="190"/>
      <c r="P104" s="190"/>
      <c r="Q104" s="190"/>
      <c r="R104" s="190"/>
      <c r="S104" s="190"/>
    </row>
    <row r="105" spans="1:19" ht="30" hidden="1" x14ac:dyDescent="0.2">
      <c r="A105" s="406" t="str">
        <f>'ведом 2024 пр.4'!A101</f>
        <v>Основное мероприятие "Поддержка экономического и социального развития коренных малочисленных народов Севера, Сибири и Дальнего востока"</v>
      </c>
      <c r="B105" s="402"/>
      <c r="C105" s="402"/>
      <c r="D105" s="402"/>
      <c r="E105" s="403">
        <v>7400100000</v>
      </c>
      <c r="F105" s="402"/>
      <c r="G105" s="396"/>
      <c r="H105" s="405">
        <f t="shared" ref="H105:M105" si="40">H106+H107</f>
        <v>0</v>
      </c>
      <c r="I105" s="405">
        <f t="shared" si="40"/>
        <v>0</v>
      </c>
      <c r="J105" s="405">
        <f t="shared" si="40"/>
        <v>0</v>
      </c>
      <c r="K105" s="405">
        <f t="shared" si="40"/>
        <v>0</v>
      </c>
      <c r="L105" s="405">
        <f t="shared" si="40"/>
        <v>0</v>
      </c>
      <c r="M105" s="405">
        <f t="shared" si="40"/>
        <v>0</v>
      </c>
    </row>
    <row r="106" spans="1:19" ht="33" hidden="1" customHeight="1" x14ac:dyDescent="0.2">
      <c r="A106" s="408" t="s">
        <v>973</v>
      </c>
      <c r="B106" s="402"/>
      <c r="C106" s="402"/>
      <c r="D106" s="402"/>
      <c r="E106" s="403">
        <v>7400100000</v>
      </c>
      <c r="F106" s="402"/>
      <c r="G106" s="396">
        <v>922</v>
      </c>
      <c r="H106" s="405">
        <f>'ведом 2024 пр.4'!G101</f>
        <v>0</v>
      </c>
      <c r="I106" s="405">
        <f>'ведом 2024 пр.4'!H101</f>
        <v>0</v>
      </c>
      <c r="J106" s="405">
        <f>'ведом 2024 пр.4'!I101</f>
        <v>0</v>
      </c>
      <c r="K106" s="405">
        <f>'ведом 2024 пр.4'!J101</f>
        <v>0</v>
      </c>
      <c r="L106" s="405">
        <f>'ведом 2024 пр.4'!K101</f>
        <v>0</v>
      </c>
      <c r="M106" s="405">
        <f>'ведом 2024 пр.4'!L101</f>
        <v>0</v>
      </c>
    </row>
    <row r="107" spans="1:19" ht="30" hidden="1" x14ac:dyDescent="0.2">
      <c r="A107" s="408" t="s">
        <v>76</v>
      </c>
      <c r="B107" s="402"/>
      <c r="C107" s="402"/>
      <c r="D107" s="402"/>
      <c r="E107" s="403">
        <v>7400100000</v>
      </c>
      <c r="F107" s="402"/>
      <c r="G107" s="396">
        <v>939</v>
      </c>
      <c r="H107" s="405">
        <f>'ведом 2024 пр.4'!G366</f>
        <v>0</v>
      </c>
      <c r="I107" s="405">
        <f>'ведом 2024 пр.4'!H366</f>
        <v>0</v>
      </c>
      <c r="J107" s="405">
        <f>'ведом 2024 пр.4'!I366</f>
        <v>0</v>
      </c>
      <c r="K107" s="405">
        <f>'ведом 2024 пр.4'!J366</f>
        <v>0</v>
      </c>
      <c r="L107" s="405">
        <f>'ведом 2024 пр.4'!K366</f>
        <v>0</v>
      </c>
      <c r="M107" s="405">
        <f>'ведом 2024 пр.4'!L366</f>
        <v>0</v>
      </c>
    </row>
    <row r="108" spans="1:19" s="116" customFormat="1" ht="14.25" x14ac:dyDescent="0.2">
      <c r="A108" s="555" t="s">
        <v>341</v>
      </c>
      <c r="B108" s="394"/>
      <c r="C108" s="394"/>
      <c r="D108" s="394"/>
      <c r="E108" s="559">
        <v>7500000000</v>
      </c>
      <c r="F108" s="394"/>
      <c r="G108" s="561"/>
      <c r="H108" s="560">
        <f>H109+H122+H125+H128</f>
        <v>30620.457210000004</v>
      </c>
      <c r="I108" s="560">
        <f>I109+I122+I125+I128</f>
        <v>739.95</v>
      </c>
      <c r="J108" s="560">
        <f>J109+J122+J125+J128</f>
        <v>42601.639869999999</v>
      </c>
      <c r="K108" s="560">
        <f>K109+K122+K125+K128</f>
        <v>739.95</v>
      </c>
      <c r="L108" s="560">
        <f t="shared" ref="L108:L154" si="41">J108-H108</f>
        <v>11981.182659999995</v>
      </c>
      <c r="M108" s="560">
        <f t="shared" ref="M108:M154" si="42">K108-I108</f>
        <v>0</v>
      </c>
      <c r="N108" s="190">
        <f>H108-'ведом 2024 пр.4'!G2384</f>
        <v>0</v>
      </c>
      <c r="O108" s="190">
        <f>I108-'ведом 2024 пр.4'!H2384</f>
        <v>0</v>
      </c>
      <c r="P108" s="190">
        <f>J108-'ведом 2024 пр.4'!I2384</f>
        <v>0</v>
      </c>
      <c r="Q108" s="190">
        <f>K108-'ведом 2024 пр.4'!J2384</f>
        <v>0</v>
      </c>
      <c r="R108" s="190"/>
      <c r="S108" s="190"/>
    </row>
    <row r="109" spans="1:19" x14ac:dyDescent="0.2">
      <c r="A109" s="408" t="s">
        <v>508</v>
      </c>
      <c r="B109" s="402"/>
      <c r="C109" s="402"/>
      <c r="D109" s="402"/>
      <c r="E109" s="403">
        <v>7510000000</v>
      </c>
      <c r="F109" s="402"/>
      <c r="G109" s="396"/>
      <c r="H109" s="405">
        <f>H110+H112+H114+H116+H118+H120</f>
        <v>27212.840210000002</v>
      </c>
      <c r="I109" s="405">
        <f>I110+I112+I114+I116+I118+I120</f>
        <v>147.35</v>
      </c>
      <c r="J109" s="405">
        <f>J110+J112+J114+J116+J118+J120</f>
        <v>39114.022870000001</v>
      </c>
      <c r="K109" s="405">
        <f>K110+K112+K114+K116+K118+K120</f>
        <v>147.35</v>
      </c>
      <c r="L109" s="405">
        <f t="shared" si="41"/>
        <v>11901.182659999999</v>
      </c>
      <c r="M109" s="405">
        <f t="shared" si="42"/>
        <v>0</v>
      </c>
    </row>
    <row r="110" spans="1:19" ht="30" x14ac:dyDescent="0.2">
      <c r="A110" s="406" t="str">
        <f>'ведом 2024 пр.4'!A2292</f>
        <v>Основное мероприятие "Организация и осуществление спортивно-массовых и оздоровительных мероприятий с различными группами населения"</v>
      </c>
      <c r="B110" s="402"/>
      <c r="C110" s="402"/>
      <c r="D110" s="402"/>
      <c r="E110" s="403">
        <v>7510100000</v>
      </c>
      <c r="F110" s="402"/>
      <c r="G110" s="396"/>
      <c r="H110" s="405">
        <f>H111</f>
        <v>2685.9794299999999</v>
      </c>
      <c r="I110" s="405">
        <f>I111</f>
        <v>0</v>
      </c>
      <c r="J110" s="405">
        <f>J111</f>
        <v>4102.7020899999998</v>
      </c>
      <c r="K110" s="405">
        <f>K111</f>
        <v>0</v>
      </c>
      <c r="L110" s="405">
        <f t="shared" si="41"/>
        <v>1416.7226599999999</v>
      </c>
      <c r="M110" s="405">
        <f t="shared" si="42"/>
        <v>0</v>
      </c>
    </row>
    <row r="111" spans="1:19" ht="30" x14ac:dyDescent="0.2">
      <c r="A111" s="408" t="s">
        <v>972</v>
      </c>
      <c r="B111" s="402"/>
      <c r="C111" s="402"/>
      <c r="D111" s="402"/>
      <c r="E111" s="403">
        <v>7510100000</v>
      </c>
      <c r="F111" s="402"/>
      <c r="G111" s="396">
        <v>979</v>
      </c>
      <c r="H111" s="405">
        <f>'ведом 2024 пр.4'!G2292</f>
        <v>2685.9794299999999</v>
      </c>
      <c r="I111" s="405">
        <f>'ведом 2024 пр.4'!H2292</f>
        <v>0</v>
      </c>
      <c r="J111" s="405">
        <f>'ведом 2024 пр.4'!I2292</f>
        <v>4102.7020899999998</v>
      </c>
      <c r="K111" s="405">
        <f>'ведом 2024 пр.4'!J2292</f>
        <v>0</v>
      </c>
      <c r="L111" s="405">
        <f t="shared" si="41"/>
        <v>1416.7226599999999</v>
      </c>
      <c r="M111" s="405">
        <f t="shared" si="42"/>
        <v>0</v>
      </c>
    </row>
    <row r="112" spans="1:19" x14ac:dyDescent="0.2">
      <c r="A112" s="406" t="str">
        <f>'ведом 2024 пр.4'!A1586</f>
        <v>Основное мероприятие "Содержание и обеспечение деятельности МАУ ФСК "Тамир""</v>
      </c>
      <c r="B112" s="402"/>
      <c r="C112" s="402"/>
      <c r="D112" s="402"/>
      <c r="E112" s="403">
        <v>7510200000</v>
      </c>
      <c r="F112" s="402"/>
      <c r="G112" s="396"/>
      <c r="H112" s="405">
        <f>H113</f>
        <v>8853.5329999999994</v>
      </c>
      <c r="I112" s="405">
        <f>I113</f>
        <v>0</v>
      </c>
      <c r="J112" s="405">
        <f>J113</f>
        <v>12912.151</v>
      </c>
      <c r="K112" s="405">
        <f>K113</f>
        <v>0</v>
      </c>
      <c r="L112" s="405">
        <f t="shared" si="41"/>
        <v>4058.6180000000004</v>
      </c>
      <c r="M112" s="405">
        <f t="shared" si="42"/>
        <v>0</v>
      </c>
    </row>
    <row r="113" spans="1:13" x14ac:dyDescent="0.2">
      <c r="A113" s="408" t="s">
        <v>73</v>
      </c>
      <c r="B113" s="402"/>
      <c r="C113" s="402"/>
      <c r="D113" s="402"/>
      <c r="E113" s="403">
        <v>7510200000</v>
      </c>
      <c r="F113" s="402"/>
      <c r="G113" s="396">
        <v>959</v>
      </c>
      <c r="H113" s="405">
        <f>'ведом 2024 пр.4'!G1586</f>
        <v>8853.5329999999994</v>
      </c>
      <c r="I113" s="405">
        <f>'ведом 2024 пр.4'!H1586</f>
        <v>0</v>
      </c>
      <c r="J113" s="405">
        <f>'ведом 2024 пр.4'!I1586</f>
        <v>12912.151</v>
      </c>
      <c r="K113" s="405">
        <f>'ведом 2024 пр.4'!J1586</f>
        <v>0</v>
      </c>
      <c r="L113" s="405">
        <f t="shared" si="41"/>
        <v>4058.6180000000004</v>
      </c>
      <c r="M113" s="405">
        <f t="shared" si="42"/>
        <v>0</v>
      </c>
    </row>
    <row r="114" spans="1:13" ht="27" hidden="1" customHeight="1" x14ac:dyDescent="0.2">
      <c r="A114" s="406" t="str">
        <f>'ведом 2024 пр.4'!A2297</f>
        <v>Основное мероприятие "Мероприятия по внедрению комплекса ГТО"</v>
      </c>
      <c r="B114" s="402"/>
      <c r="C114" s="402"/>
      <c r="D114" s="402"/>
      <c r="E114" s="403">
        <v>7510300000</v>
      </c>
      <c r="F114" s="402"/>
      <c r="G114" s="396"/>
      <c r="H114" s="405">
        <f>H115</f>
        <v>0</v>
      </c>
      <c r="I114" s="405">
        <f>I115</f>
        <v>0</v>
      </c>
      <c r="J114" s="405">
        <f>J115</f>
        <v>0</v>
      </c>
      <c r="K114" s="405">
        <f>K115</f>
        <v>0</v>
      </c>
      <c r="L114" s="405">
        <f t="shared" si="41"/>
        <v>0</v>
      </c>
      <c r="M114" s="405">
        <f t="shared" si="42"/>
        <v>0</v>
      </c>
    </row>
    <row r="115" spans="1:13" ht="36" hidden="1" customHeight="1" x14ac:dyDescent="0.2">
      <c r="A115" s="408" t="s">
        <v>972</v>
      </c>
      <c r="B115" s="402"/>
      <c r="C115" s="402"/>
      <c r="D115" s="402"/>
      <c r="E115" s="403">
        <v>7510300000</v>
      </c>
      <c r="F115" s="402"/>
      <c r="G115" s="396">
        <v>979</v>
      </c>
      <c r="H115" s="405">
        <f>'ведом 2024 пр.4'!G2297</f>
        <v>0</v>
      </c>
      <c r="I115" s="405">
        <f>'ведом 2024 пр.4'!H2297</f>
        <v>0</v>
      </c>
      <c r="J115" s="405">
        <f>'ведом 2024 пр.4'!I2297</f>
        <v>0</v>
      </c>
      <c r="K115" s="405">
        <f>'ведом 2024 пр.4'!J2297</f>
        <v>0</v>
      </c>
      <c r="L115" s="405">
        <f t="shared" si="41"/>
        <v>0</v>
      </c>
      <c r="M115" s="405">
        <f t="shared" si="42"/>
        <v>0</v>
      </c>
    </row>
    <row r="116" spans="1:13" ht="30.75" hidden="1" customHeight="1" x14ac:dyDescent="0.2">
      <c r="A116" s="406" t="str">
        <f>'ведом 2024 пр.4'!A2300</f>
        <v>Основное мероприятие "Выезд на Всероссийские, региональные, республиканские и районные соревнования детей подростков"</v>
      </c>
      <c r="B116" s="402"/>
      <c r="C116" s="402"/>
      <c r="D116" s="402"/>
      <c r="E116" s="403">
        <v>7510500000</v>
      </c>
      <c r="F116" s="402"/>
      <c r="G116" s="396"/>
      <c r="H116" s="405">
        <f>H117</f>
        <v>0</v>
      </c>
      <c r="I116" s="405">
        <f>I117</f>
        <v>0</v>
      </c>
      <c r="J116" s="405">
        <f>J117</f>
        <v>0</v>
      </c>
      <c r="K116" s="405">
        <f>K117</f>
        <v>0</v>
      </c>
      <c r="L116" s="405">
        <f t="shared" si="41"/>
        <v>0</v>
      </c>
      <c r="M116" s="405">
        <f t="shared" si="42"/>
        <v>0</v>
      </c>
    </row>
    <row r="117" spans="1:13" ht="30.75" hidden="1" customHeight="1" x14ac:dyDescent="0.2">
      <c r="A117" s="408" t="s">
        <v>972</v>
      </c>
      <c r="B117" s="402"/>
      <c r="C117" s="402"/>
      <c r="D117" s="402"/>
      <c r="E117" s="403">
        <v>7510500000</v>
      </c>
      <c r="F117" s="402"/>
      <c r="G117" s="396">
        <v>979</v>
      </c>
      <c r="H117" s="405">
        <f>'ведом 2024 пр.4'!G2300</f>
        <v>0</v>
      </c>
      <c r="I117" s="405">
        <f>'ведом 2024 пр.4'!H2300</f>
        <v>0</v>
      </c>
      <c r="J117" s="405">
        <f>'ведом 2024 пр.4'!I2300</f>
        <v>0</v>
      </c>
      <c r="K117" s="405">
        <f>'ведом 2024 пр.4'!J2300</f>
        <v>0</v>
      </c>
      <c r="L117" s="405">
        <f t="shared" si="41"/>
        <v>0</v>
      </c>
      <c r="M117" s="405">
        <f t="shared" si="42"/>
        <v>0</v>
      </c>
    </row>
    <row r="118" spans="1:13" x14ac:dyDescent="0.2">
      <c r="A118" s="406" t="str">
        <f>'ведом 2024 пр.4'!A2327</f>
        <v>Основное мероприятие "Содержание и обеспечение деятельности МБУ Спортивная школа "Закамна""</v>
      </c>
      <c r="B118" s="402"/>
      <c r="C118" s="402"/>
      <c r="D118" s="402"/>
      <c r="E118" s="403">
        <v>7510700000</v>
      </c>
      <c r="F118" s="402"/>
      <c r="G118" s="396"/>
      <c r="H118" s="405">
        <f>H119</f>
        <v>15513.369000000001</v>
      </c>
      <c r="I118" s="405">
        <f>I119</f>
        <v>0</v>
      </c>
      <c r="J118" s="405">
        <f>J119</f>
        <v>21939.210999999999</v>
      </c>
      <c r="K118" s="405">
        <f>K119</f>
        <v>0</v>
      </c>
      <c r="L118" s="405">
        <f t="shared" si="41"/>
        <v>6425.8419999999987</v>
      </c>
      <c r="M118" s="405">
        <f t="shared" si="42"/>
        <v>0</v>
      </c>
    </row>
    <row r="119" spans="1:13" ht="30" x14ac:dyDescent="0.2">
      <c r="A119" s="408" t="s">
        <v>972</v>
      </c>
      <c r="B119" s="402"/>
      <c r="C119" s="402"/>
      <c r="D119" s="402"/>
      <c r="E119" s="403">
        <v>7510700000</v>
      </c>
      <c r="F119" s="402"/>
      <c r="G119" s="396">
        <v>979</v>
      </c>
      <c r="H119" s="405">
        <f>'ведом 2024 пр.4'!G2268+'ведом 2024 пр.4'!G2327</f>
        <v>15513.369000000001</v>
      </c>
      <c r="I119" s="405">
        <f>'ведом 2024 пр.4'!H2268+'ведом 2024 пр.4'!H2327</f>
        <v>0</v>
      </c>
      <c r="J119" s="405">
        <f>'ведом 2024 пр.4'!I2268+'ведом 2024 пр.4'!I2327</f>
        <v>21939.210999999999</v>
      </c>
      <c r="K119" s="405">
        <f>'ведом 2024 пр.4'!J2268+'ведом 2024 пр.4'!J2327</f>
        <v>0</v>
      </c>
      <c r="L119" s="405">
        <f t="shared" si="41"/>
        <v>6425.8419999999987</v>
      </c>
      <c r="M119" s="405">
        <f t="shared" si="42"/>
        <v>0</v>
      </c>
    </row>
    <row r="120" spans="1:13" ht="48.75" customHeight="1" x14ac:dyDescent="0.2">
      <c r="A120" s="408" t="s">
        <v>1567</v>
      </c>
      <c r="B120" s="402"/>
      <c r="C120" s="402"/>
      <c r="D120" s="402"/>
      <c r="E120" s="403" t="s">
        <v>1570</v>
      </c>
      <c r="F120" s="402"/>
      <c r="G120" s="396"/>
      <c r="H120" s="405">
        <f>H121</f>
        <v>159.95877999999999</v>
      </c>
      <c r="I120" s="405">
        <f>I121</f>
        <v>147.35</v>
      </c>
      <c r="J120" s="405">
        <f>J121</f>
        <v>159.95877999999999</v>
      </c>
      <c r="K120" s="405">
        <f>K121</f>
        <v>147.35</v>
      </c>
      <c r="L120" s="405">
        <f t="shared" si="41"/>
        <v>0</v>
      </c>
      <c r="M120" s="405">
        <f t="shared" si="42"/>
        <v>0</v>
      </c>
    </row>
    <row r="121" spans="1:13" ht="30.75" customHeight="1" x14ac:dyDescent="0.2">
      <c r="A121" s="408" t="s">
        <v>972</v>
      </c>
      <c r="B121" s="402"/>
      <c r="C121" s="402"/>
      <c r="D121" s="402"/>
      <c r="E121" s="403" t="s">
        <v>1570</v>
      </c>
      <c r="F121" s="402"/>
      <c r="G121" s="396">
        <v>979</v>
      </c>
      <c r="H121" s="405">
        <f>'ведом 2024 пр.4'!G2336</f>
        <v>159.95877999999999</v>
      </c>
      <c r="I121" s="405">
        <f>'ведом 2024 пр.4'!H2336</f>
        <v>147.35</v>
      </c>
      <c r="J121" s="405">
        <f>'ведом 2024 пр.4'!I2336</f>
        <v>159.95877999999999</v>
      </c>
      <c r="K121" s="405">
        <f>'ведом 2024 пр.4'!J2336</f>
        <v>147.35</v>
      </c>
      <c r="L121" s="405">
        <f t="shared" si="41"/>
        <v>0</v>
      </c>
      <c r="M121" s="405">
        <f t="shared" si="42"/>
        <v>0</v>
      </c>
    </row>
    <row r="122" spans="1:13" x14ac:dyDescent="0.2">
      <c r="A122" s="406" t="str">
        <f>'ведом 2024 пр.4'!A2303</f>
        <v>Подпрограмма "Содержание инструкторов по физической культуре и спорту"</v>
      </c>
      <c r="B122" s="402"/>
      <c r="C122" s="402"/>
      <c r="D122" s="402"/>
      <c r="E122" s="403">
        <v>7520000000</v>
      </c>
      <c r="F122" s="402"/>
      <c r="G122" s="396"/>
      <c r="H122" s="405">
        <f>H123</f>
        <v>2196.6669999999999</v>
      </c>
      <c r="I122" s="405">
        <f t="shared" ref="I122:K123" si="43">I123</f>
        <v>0</v>
      </c>
      <c r="J122" s="405">
        <f>J123</f>
        <v>2196.6669999999999</v>
      </c>
      <c r="K122" s="405">
        <f t="shared" si="43"/>
        <v>0</v>
      </c>
      <c r="L122" s="405">
        <f t="shared" si="41"/>
        <v>0</v>
      </c>
      <c r="M122" s="405">
        <f t="shared" si="42"/>
        <v>0</v>
      </c>
    </row>
    <row r="123" spans="1:13" x14ac:dyDescent="0.2">
      <c r="A123" s="406" t="str">
        <f>'ведом 2024 пр.4'!A2304</f>
        <v>Основное мероприятие "Содержание инструкторов по физической культуре и спорту"</v>
      </c>
      <c r="B123" s="402"/>
      <c r="C123" s="402"/>
      <c r="D123" s="402"/>
      <c r="E123" s="403">
        <v>7520100000</v>
      </c>
      <c r="F123" s="402"/>
      <c r="G123" s="396"/>
      <c r="H123" s="405">
        <f>H124</f>
        <v>2196.6669999999999</v>
      </c>
      <c r="I123" s="405">
        <f t="shared" si="43"/>
        <v>0</v>
      </c>
      <c r="J123" s="405">
        <f>J124</f>
        <v>2196.6669999999999</v>
      </c>
      <c r="K123" s="405">
        <f t="shared" si="43"/>
        <v>0</v>
      </c>
      <c r="L123" s="405">
        <f t="shared" si="41"/>
        <v>0</v>
      </c>
      <c r="M123" s="405">
        <f t="shared" si="42"/>
        <v>0</v>
      </c>
    </row>
    <row r="124" spans="1:13" ht="30" x14ac:dyDescent="0.2">
      <c r="A124" s="408" t="s">
        <v>972</v>
      </c>
      <c r="B124" s="402"/>
      <c r="C124" s="402"/>
      <c r="D124" s="402"/>
      <c r="E124" s="403">
        <v>7520100000</v>
      </c>
      <c r="F124" s="402"/>
      <c r="G124" s="396">
        <v>979</v>
      </c>
      <c r="H124" s="405">
        <f>'ведом 2024 пр.4'!G2305</f>
        <v>2196.6669999999999</v>
      </c>
      <c r="I124" s="405">
        <f>'ведом 2024 пр.4'!H2305</f>
        <v>0</v>
      </c>
      <c r="J124" s="405">
        <f>'ведом 2024 пр.4'!I2305</f>
        <v>2196.6669999999999</v>
      </c>
      <c r="K124" s="405">
        <f>'ведом 2024 пр.4'!J2305</f>
        <v>0</v>
      </c>
      <c r="L124" s="405">
        <f t="shared" si="41"/>
        <v>0</v>
      </c>
      <c r="M124" s="405">
        <f t="shared" si="42"/>
        <v>0</v>
      </c>
    </row>
    <row r="125" spans="1:13" x14ac:dyDescent="0.2">
      <c r="A125" s="406" t="str">
        <f>'ведом 2024 пр.4'!A2267</f>
        <v>Подпрограмма "Развитие физической культуры, спорта"</v>
      </c>
      <c r="B125" s="402"/>
      <c r="C125" s="402"/>
      <c r="D125" s="402"/>
      <c r="E125" s="403">
        <v>7530000000</v>
      </c>
      <c r="F125" s="402"/>
      <c r="G125" s="396"/>
      <c r="H125" s="405">
        <f>H126</f>
        <v>1080.45</v>
      </c>
      <c r="I125" s="405">
        <f t="shared" ref="I125:K126" si="44">I126</f>
        <v>592.6</v>
      </c>
      <c r="J125" s="405">
        <f>J126</f>
        <v>1160.45</v>
      </c>
      <c r="K125" s="405">
        <f t="shared" si="44"/>
        <v>592.6</v>
      </c>
      <c r="L125" s="405">
        <f t="shared" si="41"/>
        <v>80</v>
      </c>
      <c r="M125" s="405">
        <f t="shared" si="42"/>
        <v>0</v>
      </c>
    </row>
    <row r="126" spans="1:13" x14ac:dyDescent="0.2">
      <c r="A126" s="406" t="str">
        <f>'ведом 2024 пр.4'!A2268</f>
        <v>Основное мероприятие "Деятельность в области спорта высших достижений МБУ Спортивная школа "Закамна""</v>
      </c>
      <c r="B126" s="402"/>
      <c r="C126" s="402"/>
      <c r="D126" s="402"/>
      <c r="E126" s="403">
        <v>7530100000</v>
      </c>
      <c r="F126" s="402"/>
      <c r="G126" s="396"/>
      <c r="H126" s="405">
        <f>H127</f>
        <v>1080.45</v>
      </c>
      <c r="I126" s="405">
        <f t="shared" si="44"/>
        <v>592.6</v>
      </c>
      <c r="J126" s="405">
        <f>J127</f>
        <v>1160.45</v>
      </c>
      <c r="K126" s="405">
        <f t="shared" si="44"/>
        <v>592.6</v>
      </c>
      <c r="L126" s="405">
        <f t="shared" si="41"/>
        <v>80</v>
      </c>
      <c r="M126" s="405">
        <f t="shared" si="42"/>
        <v>0</v>
      </c>
    </row>
    <row r="127" spans="1:13" ht="30" x14ac:dyDescent="0.2">
      <c r="A127" s="408" t="s">
        <v>972</v>
      </c>
      <c r="B127" s="402"/>
      <c r="C127" s="402"/>
      <c r="D127" s="402"/>
      <c r="E127" s="403">
        <v>7530100000</v>
      </c>
      <c r="F127" s="402"/>
      <c r="G127" s="396">
        <v>979</v>
      </c>
      <c r="H127" s="405">
        <f>'ведом 2024 пр.4'!G2285</f>
        <v>1080.45</v>
      </c>
      <c r="I127" s="405">
        <f>'ведом 2024 пр.4'!H2285</f>
        <v>592.6</v>
      </c>
      <c r="J127" s="405">
        <f>'ведом 2024 пр.4'!I2285</f>
        <v>1160.45</v>
      </c>
      <c r="K127" s="405">
        <f>'ведом 2024 пр.4'!J2285</f>
        <v>592.6</v>
      </c>
      <c r="L127" s="405">
        <f t="shared" si="41"/>
        <v>80</v>
      </c>
      <c r="M127" s="405">
        <f t="shared" si="42"/>
        <v>0</v>
      </c>
    </row>
    <row r="128" spans="1:13" x14ac:dyDescent="0.2">
      <c r="A128" s="406" t="str">
        <f>'ведом 2024 пр.4'!A2227</f>
        <v>Подпрограмма "Развитие молодежной политики"</v>
      </c>
      <c r="B128" s="402"/>
      <c r="C128" s="402"/>
      <c r="D128" s="402"/>
      <c r="E128" s="403">
        <v>7540000000</v>
      </c>
      <c r="F128" s="402"/>
      <c r="G128" s="396"/>
      <c r="H128" s="405">
        <f>H129+H131+H133+H135+H137</f>
        <v>130.5</v>
      </c>
      <c r="I128" s="405">
        <f>I129+I131+I133+I135+I137</f>
        <v>0</v>
      </c>
      <c r="J128" s="405">
        <f>J129+J131+J133+J135+J137</f>
        <v>130.5</v>
      </c>
      <c r="K128" s="405">
        <f>K129+K131+K133+K135+K137</f>
        <v>0</v>
      </c>
      <c r="L128" s="405">
        <f t="shared" si="41"/>
        <v>0</v>
      </c>
      <c r="M128" s="405">
        <f t="shared" si="42"/>
        <v>0</v>
      </c>
    </row>
    <row r="129" spans="1:17" ht="30" hidden="1" x14ac:dyDescent="0.2">
      <c r="A129" s="406" t="str">
        <f>'ведом 2024 пр.4'!A2228</f>
        <v>Основное мероприятие "Организация и проведение мероприятий по гражданскому и духовному воспитанию молодежи, мероприятий с молодыми избирателями"</v>
      </c>
      <c r="B129" s="402"/>
      <c r="C129" s="402"/>
      <c r="D129" s="402"/>
      <c r="E129" s="403">
        <v>7540100000</v>
      </c>
      <c r="F129" s="402"/>
      <c r="G129" s="396"/>
      <c r="H129" s="405">
        <f>H130</f>
        <v>0</v>
      </c>
      <c r="I129" s="405">
        <f>I130</f>
        <v>0</v>
      </c>
      <c r="J129" s="405">
        <f>J130</f>
        <v>0</v>
      </c>
      <c r="K129" s="405">
        <f>K130</f>
        <v>0</v>
      </c>
      <c r="L129" s="405">
        <f t="shared" si="41"/>
        <v>0</v>
      </c>
      <c r="M129" s="405">
        <f t="shared" si="42"/>
        <v>0</v>
      </c>
    </row>
    <row r="130" spans="1:17" ht="30" hidden="1" x14ac:dyDescent="0.2">
      <c r="A130" s="408" t="s">
        <v>972</v>
      </c>
      <c r="B130" s="402"/>
      <c r="C130" s="402"/>
      <c r="D130" s="402"/>
      <c r="E130" s="403">
        <v>7540100000</v>
      </c>
      <c r="F130" s="402"/>
      <c r="G130" s="396">
        <v>979</v>
      </c>
      <c r="H130" s="405">
        <f>'ведом 2024 пр.4'!G2228</f>
        <v>0</v>
      </c>
      <c r="I130" s="405">
        <f>'ведом 2024 пр.4'!H2228</f>
        <v>0</v>
      </c>
      <c r="J130" s="405">
        <f>'ведом 2024 пр.4'!I2228</f>
        <v>0</v>
      </c>
      <c r="K130" s="405">
        <f>'ведом 2024 пр.4'!J2228</f>
        <v>0</v>
      </c>
      <c r="L130" s="405">
        <f t="shared" si="41"/>
        <v>0</v>
      </c>
      <c r="M130" s="405">
        <f t="shared" si="42"/>
        <v>0</v>
      </c>
    </row>
    <row r="131" spans="1:17" x14ac:dyDescent="0.2">
      <c r="A131" s="406" t="str">
        <f>'ведом 2024 пр.4'!A2231</f>
        <v>Основное мероприятие "Мероприятия по поддержке талантливой молодежи"</v>
      </c>
      <c r="B131" s="403">
        <v>7540100000</v>
      </c>
      <c r="C131" s="396"/>
      <c r="D131" s="402"/>
      <c r="E131" s="403">
        <v>7540200000</v>
      </c>
      <c r="F131" s="396"/>
      <c r="G131" s="396"/>
      <c r="H131" s="405">
        <f>H132</f>
        <v>14</v>
      </c>
      <c r="I131" s="405">
        <f>I132</f>
        <v>0</v>
      </c>
      <c r="J131" s="405">
        <f>J132</f>
        <v>14</v>
      </c>
      <c r="K131" s="405">
        <f>K132</f>
        <v>0</v>
      </c>
      <c r="L131" s="405">
        <f t="shared" si="41"/>
        <v>0</v>
      </c>
      <c r="M131" s="405">
        <f t="shared" si="42"/>
        <v>0</v>
      </c>
    </row>
    <row r="132" spans="1:17" ht="30" x14ac:dyDescent="0.2">
      <c r="A132" s="408" t="s">
        <v>972</v>
      </c>
      <c r="B132" s="403">
        <v>7540100000</v>
      </c>
      <c r="C132" s="396">
        <v>979</v>
      </c>
      <c r="D132" s="402"/>
      <c r="E132" s="403">
        <v>7540200000</v>
      </c>
      <c r="F132" s="396">
        <v>979</v>
      </c>
      <c r="G132" s="396">
        <v>979</v>
      </c>
      <c r="H132" s="405">
        <f>'ведом 2024 пр.4'!G2231</f>
        <v>14</v>
      </c>
      <c r="I132" s="405">
        <f>'ведом 2024 пр.4'!H2231</f>
        <v>0</v>
      </c>
      <c r="J132" s="405">
        <f>'ведом 2024 пр.4'!I2231</f>
        <v>14</v>
      </c>
      <c r="K132" s="405">
        <f>'ведом 2024 пр.4'!J2231</f>
        <v>0</v>
      </c>
      <c r="L132" s="405">
        <f t="shared" si="41"/>
        <v>0</v>
      </c>
      <c r="M132" s="405">
        <f t="shared" si="42"/>
        <v>0</v>
      </c>
    </row>
    <row r="133" spans="1:17" hidden="1" x14ac:dyDescent="0.2">
      <c r="A133" s="406" t="str">
        <f>'ведом 2024 пр.4'!A2234</f>
        <v>Основное мероприятие "Организация и проведение культурно-массовых мероприятий для молодежи"</v>
      </c>
      <c r="B133" s="402"/>
      <c r="C133" s="402"/>
      <c r="D133" s="402"/>
      <c r="E133" s="403">
        <v>7540300000</v>
      </c>
      <c r="F133" s="402"/>
      <c r="G133" s="396"/>
      <c r="H133" s="405">
        <f>H134</f>
        <v>0</v>
      </c>
      <c r="I133" s="405">
        <f>I134</f>
        <v>0</v>
      </c>
      <c r="J133" s="405">
        <f>J134</f>
        <v>0</v>
      </c>
      <c r="K133" s="405">
        <f>K134</f>
        <v>0</v>
      </c>
      <c r="L133" s="405">
        <f t="shared" si="41"/>
        <v>0</v>
      </c>
      <c r="M133" s="405">
        <f t="shared" si="42"/>
        <v>0</v>
      </c>
    </row>
    <row r="134" spans="1:17" ht="30" hidden="1" x14ac:dyDescent="0.2">
      <c r="A134" s="408" t="s">
        <v>972</v>
      </c>
      <c r="B134" s="402"/>
      <c r="C134" s="402"/>
      <c r="D134" s="402"/>
      <c r="E134" s="403">
        <v>7540300000</v>
      </c>
      <c r="F134" s="402"/>
      <c r="G134" s="396">
        <v>979</v>
      </c>
      <c r="H134" s="405">
        <f>'ведом 2024 пр.4'!G2234</f>
        <v>0</v>
      </c>
      <c r="I134" s="405">
        <f>'ведом 2024 пр.4'!H2234</f>
        <v>0</v>
      </c>
      <c r="J134" s="405">
        <f>'ведом 2024 пр.4'!I2234</f>
        <v>0</v>
      </c>
      <c r="K134" s="405">
        <f>'ведом 2024 пр.4'!J2234</f>
        <v>0</v>
      </c>
      <c r="L134" s="405">
        <f t="shared" si="41"/>
        <v>0</v>
      </c>
      <c r="M134" s="405">
        <f t="shared" si="42"/>
        <v>0</v>
      </c>
    </row>
    <row r="135" spans="1:17" ht="28.5" customHeight="1" x14ac:dyDescent="0.2">
      <c r="A135" s="406" t="str">
        <f>'ведом 2024 пр.4'!A2237</f>
        <v>Основное мероприятие "Организация и проведение мероприятий по формированию здорового образа жизни, профилактике асоциальных явлений, развитию трудового молодежного движения"</v>
      </c>
      <c r="B135" s="402"/>
      <c r="C135" s="402"/>
      <c r="D135" s="402"/>
      <c r="E135" s="403">
        <v>7540400000</v>
      </c>
      <c r="F135" s="402"/>
      <c r="G135" s="396"/>
      <c r="H135" s="405">
        <f>H136</f>
        <v>14.5</v>
      </c>
      <c r="I135" s="405">
        <f>I136</f>
        <v>0</v>
      </c>
      <c r="J135" s="405">
        <f>J136</f>
        <v>14.5</v>
      </c>
      <c r="K135" s="405">
        <f>K136</f>
        <v>0</v>
      </c>
      <c r="L135" s="405">
        <f t="shared" si="41"/>
        <v>0</v>
      </c>
      <c r="M135" s="405">
        <f t="shared" si="42"/>
        <v>0</v>
      </c>
    </row>
    <row r="136" spans="1:17" ht="28.5" customHeight="1" x14ac:dyDescent="0.2">
      <c r="A136" s="408" t="s">
        <v>972</v>
      </c>
      <c r="B136" s="402"/>
      <c r="C136" s="402"/>
      <c r="D136" s="402"/>
      <c r="E136" s="403">
        <v>7540400000</v>
      </c>
      <c r="F136" s="402"/>
      <c r="G136" s="396">
        <v>979</v>
      </c>
      <c r="H136" s="405">
        <f>'ведом 2024 пр.4'!G2237</f>
        <v>14.5</v>
      </c>
      <c r="I136" s="405">
        <f>'ведом 2024 пр.4'!H2237</f>
        <v>0</v>
      </c>
      <c r="J136" s="405">
        <f>'ведом 2024 пр.4'!I2237</f>
        <v>14.5</v>
      </c>
      <c r="K136" s="405">
        <f>'ведом 2024 пр.4'!J2237</f>
        <v>0</v>
      </c>
      <c r="L136" s="405">
        <f t="shared" si="41"/>
        <v>0</v>
      </c>
      <c r="M136" s="405">
        <f t="shared" si="42"/>
        <v>0</v>
      </c>
    </row>
    <row r="137" spans="1:17" x14ac:dyDescent="0.2">
      <c r="A137" s="406" t="str">
        <f>'ведом 2024 пр.4'!A2240</f>
        <v>Региональный проект «Социальная активность»</v>
      </c>
      <c r="B137" s="402"/>
      <c r="C137" s="402"/>
      <c r="D137" s="402"/>
      <c r="E137" s="403">
        <v>7540500000</v>
      </c>
      <c r="F137" s="402"/>
      <c r="G137" s="396"/>
      <c r="H137" s="405">
        <f>H138</f>
        <v>102</v>
      </c>
      <c r="I137" s="405">
        <f>I138</f>
        <v>0</v>
      </c>
      <c r="J137" s="405">
        <f>J138</f>
        <v>102</v>
      </c>
      <c r="K137" s="405">
        <f>K138</f>
        <v>0</v>
      </c>
      <c r="L137" s="405">
        <f t="shared" si="41"/>
        <v>0</v>
      </c>
      <c r="M137" s="405">
        <f t="shared" si="42"/>
        <v>0</v>
      </c>
    </row>
    <row r="138" spans="1:17" ht="30" x14ac:dyDescent="0.2">
      <c r="A138" s="408" t="s">
        <v>972</v>
      </c>
      <c r="B138" s="402"/>
      <c r="C138" s="402"/>
      <c r="D138" s="402"/>
      <c r="E138" s="403">
        <v>7540500000</v>
      </c>
      <c r="F138" s="402"/>
      <c r="G138" s="396">
        <v>979</v>
      </c>
      <c r="H138" s="405">
        <f>'ведом 2024 пр.4'!G2240</f>
        <v>102</v>
      </c>
      <c r="I138" s="405">
        <f>'ведом 2024 пр.4'!H2240</f>
        <v>0</v>
      </c>
      <c r="J138" s="405">
        <f>'ведом 2024 пр.4'!I2240</f>
        <v>102</v>
      </c>
      <c r="K138" s="405">
        <f>'ведом 2024 пр.4'!J2240</f>
        <v>0</v>
      </c>
      <c r="L138" s="405">
        <f t="shared" si="41"/>
        <v>0</v>
      </c>
      <c r="M138" s="405">
        <f t="shared" si="42"/>
        <v>0</v>
      </c>
    </row>
    <row r="139" spans="1:17" ht="28.5" x14ac:dyDescent="0.2">
      <c r="A139" s="562" t="str">
        <f>'ведом 2024 пр.4'!A1890</f>
        <v>Муниципальная программа "Повышение безопасности дорожного движения в муниципальном образовании "Закаменский район""</v>
      </c>
      <c r="B139" s="394"/>
      <c r="C139" s="394"/>
      <c r="D139" s="394"/>
      <c r="E139" s="559">
        <v>7600000000</v>
      </c>
      <c r="F139" s="394"/>
      <c r="G139" s="561"/>
      <c r="H139" s="560">
        <f>H140+H144+H146+H142</f>
        <v>300</v>
      </c>
      <c r="I139" s="560">
        <f>I140+I144+I146+I142</f>
        <v>0</v>
      </c>
      <c r="J139" s="560">
        <f>J140+J144+J146+J142</f>
        <v>300</v>
      </c>
      <c r="K139" s="560">
        <f>K140+K144+K146+K142</f>
        <v>0</v>
      </c>
      <c r="L139" s="560">
        <f t="shared" si="41"/>
        <v>0</v>
      </c>
      <c r="M139" s="560">
        <f t="shared" si="42"/>
        <v>0</v>
      </c>
      <c r="N139" s="39">
        <f>H139-'ведом 2024 пр.4'!G2388</f>
        <v>0</v>
      </c>
      <c r="O139" s="39">
        <f>I139-'ведом 2024 пр.4'!H2388</f>
        <v>0</v>
      </c>
      <c r="P139" s="39">
        <f>J139-'ведом 2024 пр.4'!I2388</f>
        <v>0</v>
      </c>
      <c r="Q139" s="39">
        <f>K139-'ведом 2024 пр.4'!J2388</f>
        <v>0</v>
      </c>
    </row>
    <row r="140" spans="1:17" ht="28.5" hidden="1" customHeight="1" x14ac:dyDescent="0.2">
      <c r="A140" s="406" t="str">
        <f>'ведом 2024 пр.4'!A1891</f>
        <v>иные межбюджетные трансферты</v>
      </c>
      <c r="B140" s="402"/>
      <c r="C140" s="402"/>
      <c r="D140" s="402"/>
      <c r="E140" s="403">
        <f>'ведом 2024 пр.4'!E1891</f>
        <v>7600600000</v>
      </c>
      <c r="F140" s="402"/>
      <c r="G140" s="396"/>
      <c r="H140" s="405">
        <f>H141</f>
        <v>0</v>
      </c>
      <c r="I140" s="405">
        <f>I141</f>
        <v>0</v>
      </c>
      <c r="J140" s="405">
        <f>J141</f>
        <v>0</v>
      </c>
      <c r="K140" s="405">
        <f>K141</f>
        <v>0</v>
      </c>
      <c r="L140" s="405">
        <f t="shared" si="41"/>
        <v>0</v>
      </c>
      <c r="M140" s="405">
        <f t="shared" si="42"/>
        <v>0</v>
      </c>
    </row>
    <row r="141" spans="1:17" ht="28.5" hidden="1" customHeight="1" x14ac:dyDescent="0.2">
      <c r="A141" s="408" t="s">
        <v>228</v>
      </c>
      <c r="B141" s="402"/>
      <c r="C141" s="402"/>
      <c r="D141" s="402"/>
      <c r="E141" s="403">
        <f>'ведом 2024 пр.4'!E1891</f>
        <v>7600600000</v>
      </c>
      <c r="F141" s="402"/>
      <c r="G141" s="396">
        <v>961</v>
      </c>
      <c r="H141" s="405">
        <f>'ведом 2024 пр.4'!G1891</f>
        <v>0</v>
      </c>
      <c r="I141" s="405">
        <f>'ведом 2024 пр.4'!H1891</f>
        <v>0</v>
      </c>
      <c r="J141" s="405">
        <f>'ведом 2024 пр.4'!I1891</f>
        <v>0</v>
      </c>
      <c r="K141" s="405">
        <f>'ведом 2024 пр.4'!J1891</f>
        <v>0</v>
      </c>
      <c r="L141" s="405">
        <f t="shared" si="41"/>
        <v>0</v>
      </c>
      <c r="M141" s="405">
        <f t="shared" si="42"/>
        <v>0</v>
      </c>
    </row>
    <row r="142" spans="1:17" x14ac:dyDescent="0.2">
      <c r="A142" s="406" t="str">
        <f>'ведом 2024 пр.4'!A1894</f>
        <v>Основное мероприятие "Установка дорожных знаков в соответствии ПОДД"</v>
      </c>
      <c r="B142" s="402"/>
      <c r="C142" s="402"/>
      <c r="D142" s="402"/>
      <c r="E142" s="403">
        <v>7601200000</v>
      </c>
      <c r="F142" s="402"/>
      <c r="G142" s="396"/>
      <c r="H142" s="405">
        <f>H143</f>
        <v>100</v>
      </c>
      <c r="I142" s="405">
        <f>I143</f>
        <v>0</v>
      </c>
      <c r="J142" s="405">
        <f>J143</f>
        <v>100</v>
      </c>
      <c r="K142" s="405">
        <f>K143</f>
        <v>0</v>
      </c>
      <c r="L142" s="405">
        <f t="shared" si="41"/>
        <v>0</v>
      </c>
      <c r="M142" s="405">
        <f t="shared" si="42"/>
        <v>0</v>
      </c>
    </row>
    <row r="143" spans="1:17" ht="30" x14ac:dyDescent="0.2">
      <c r="A143" s="408" t="s">
        <v>228</v>
      </c>
      <c r="B143" s="402"/>
      <c r="C143" s="402"/>
      <c r="D143" s="402"/>
      <c r="E143" s="403">
        <v>7601200000</v>
      </c>
      <c r="F143" s="402"/>
      <c r="G143" s="396">
        <v>961</v>
      </c>
      <c r="H143" s="405">
        <f>'ведом 2024 пр.4'!G1894</f>
        <v>100</v>
      </c>
      <c r="I143" s="405">
        <f>'ведом 2024 пр.4'!H1895</f>
        <v>0</v>
      </c>
      <c r="J143" s="405">
        <f>'ведом 2024 пр.4'!I1894</f>
        <v>100</v>
      </c>
      <c r="K143" s="405">
        <f>'ведом 2024 пр.4'!J1894</f>
        <v>0</v>
      </c>
      <c r="L143" s="405">
        <f t="shared" si="41"/>
        <v>0</v>
      </c>
      <c r="M143" s="405">
        <f t="shared" si="42"/>
        <v>0</v>
      </c>
    </row>
    <row r="144" spans="1:17" ht="21" customHeight="1" x14ac:dyDescent="0.2">
      <c r="A144" s="406" t="str">
        <f>'ведом 2024 пр.4'!A1897</f>
        <v>Основное мероприятие "Замена и ремонт дорожных знаков"</v>
      </c>
      <c r="B144" s="402"/>
      <c r="C144" s="402"/>
      <c r="D144" s="402"/>
      <c r="E144" s="403">
        <f>'ведом 2024 пр.4'!E1897</f>
        <v>7601300000</v>
      </c>
      <c r="F144" s="402"/>
      <c r="G144" s="396"/>
      <c r="H144" s="405">
        <f>H145</f>
        <v>100</v>
      </c>
      <c r="I144" s="405">
        <f>I145</f>
        <v>0</v>
      </c>
      <c r="J144" s="405">
        <f>J145</f>
        <v>100</v>
      </c>
      <c r="K144" s="405">
        <f>K145</f>
        <v>0</v>
      </c>
      <c r="L144" s="405">
        <f t="shared" si="41"/>
        <v>0</v>
      </c>
      <c r="M144" s="405">
        <f t="shared" si="42"/>
        <v>0</v>
      </c>
    </row>
    <row r="145" spans="1:20" ht="24.75" customHeight="1" x14ac:dyDescent="0.2">
      <c r="A145" s="408" t="s">
        <v>228</v>
      </c>
      <c r="B145" s="402"/>
      <c r="C145" s="402"/>
      <c r="D145" s="402"/>
      <c r="E145" s="403">
        <f>'ведом 2024 пр.4'!E1897</f>
        <v>7601300000</v>
      </c>
      <c r="F145" s="402"/>
      <c r="G145" s="396">
        <v>961</v>
      </c>
      <c r="H145" s="405">
        <f>'ведом 2024 пр.4'!G1897</f>
        <v>100</v>
      </c>
      <c r="I145" s="405">
        <f>'ведом 2024 пр.4'!H1897</f>
        <v>0</v>
      </c>
      <c r="J145" s="405">
        <f>'ведом 2024 пр.4'!I1897</f>
        <v>100</v>
      </c>
      <c r="K145" s="405">
        <f>'ведом 2024 пр.4'!J1897</f>
        <v>0</v>
      </c>
      <c r="L145" s="405">
        <f t="shared" si="41"/>
        <v>0</v>
      </c>
      <c r="M145" s="405">
        <f t="shared" si="42"/>
        <v>0</v>
      </c>
    </row>
    <row r="146" spans="1:20" ht="30" customHeight="1" x14ac:dyDescent="0.2">
      <c r="A146" s="406" t="str">
        <f>'ведом 2024 пр.4'!A1900</f>
        <v>Основное мероприятие "Обустройство пешеходных переходов в соответствии с национальными стандартами, в том числе вблизи общеобразовательных учреждений"</v>
      </c>
      <c r="B146" s="402"/>
      <c r="C146" s="402"/>
      <c r="D146" s="402"/>
      <c r="E146" s="403">
        <v>7601400000</v>
      </c>
      <c r="F146" s="396"/>
      <c r="G146" s="396"/>
      <c r="H146" s="405">
        <f>H147</f>
        <v>100</v>
      </c>
      <c r="I146" s="405">
        <f>I147</f>
        <v>0</v>
      </c>
      <c r="J146" s="405">
        <f>J147</f>
        <v>100</v>
      </c>
      <c r="K146" s="405">
        <f>K147</f>
        <v>0</v>
      </c>
      <c r="L146" s="405">
        <f t="shared" si="41"/>
        <v>0</v>
      </c>
      <c r="M146" s="405">
        <f t="shared" si="42"/>
        <v>0</v>
      </c>
    </row>
    <row r="147" spans="1:20" ht="27" customHeight="1" x14ac:dyDescent="0.2">
      <c r="A147" s="408" t="s">
        <v>228</v>
      </c>
      <c r="B147" s="402"/>
      <c r="C147" s="402"/>
      <c r="D147" s="402"/>
      <c r="E147" s="403">
        <v>7601400000</v>
      </c>
      <c r="F147" s="396">
        <v>961</v>
      </c>
      <c r="G147" s="396">
        <v>961</v>
      </c>
      <c r="H147" s="405">
        <f>'ведом 2024 пр.4'!G1900</f>
        <v>100</v>
      </c>
      <c r="I147" s="405">
        <f>'ведом 2024 пр.4'!H1900</f>
        <v>0</v>
      </c>
      <c r="J147" s="405">
        <f>'ведом 2024 пр.4'!I1900</f>
        <v>100</v>
      </c>
      <c r="K147" s="405">
        <f>'ведом 2024 пр.4'!J1900</f>
        <v>0</v>
      </c>
      <c r="L147" s="405">
        <f t="shared" si="41"/>
        <v>0</v>
      </c>
      <c r="M147" s="405">
        <f t="shared" si="42"/>
        <v>0</v>
      </c>
    </row>
    <row r="148" spans="1:20" s="116" customFormat="1" ht="14.25" x14ac:dyDescent="0.2">
      <c r="A148" s="555" t="s">
        <v>1038</v>
      </c>
      <c r="B148" s="394"/>
      <c r="C148" s="394"/>
      <c r="D148" s="394"/>
      <c r="E148" s="559">
        <v>7700000000</v>
      </c>
      <c r="F148" s="394"/>
      <c r="G148" s="561"/>
      <c r="H148" s="560">
        <f t="shared" ref="H148:K149" si="45">H149</f>
        <v>248.768</v>
      </c>
      <c r="I148" s="560">
        <f t="shared" si="45"/>
        <v>0</v>
      </c>
      <c r="J148" s="560">
        <f t="shared" si="45"/>
        <v>248.768</v>
      </c>
      <c r="K148" s="560">
        <f t="shared" si="45"/>
        <v>0</v>
      </c>
      <c r="L148" s="560">
        <f t="shared" si="41"/>
        <v>0</v>
      </c>
      <c r="M148" s="560">
        <f t="shared" si="42"/>
        <v>0</v>
      </c>
      <c r="N148" s="552">
        <f>H148-'ведом 2024 пр.4'!G2389</f>
        <v>0</v>
      </c>
      <c r="O148" s="552">
        <f>I148-'ведом 2024 пр.4'!H2389</f>
        <v>0</v>
      </c>
      <c r="P148" s="552">
        <f>J148-'ведом 2024 пр.4'!I2389</f>
        <v>0</v>
      </c>
      <c r="Q148" s="552">
        <f>K148-'ведом 2024 пр.4'!J2389</f>
        <v>0</v>
      </c>
      <c r="R148" s="190"/>
      <c r="S148" s="190"/>
      <c r="T148" s="190"/>
    </row>
    <row r="149" spans="1:20" x14ac:dyDescent="0.2">
      <c r="A149" s="408" t="s">
        <v>1042</v>
      </c>
      <c r="B149" s="394"/>
      <c r="C149" s="394"/>
      <c r="D149" s="394"/>
      <c r="E149" s="403">
        <v>7700600000</v>
      </c>
      <c r="F149" s="402"/>
      <c r="G149" s="396"/>
      <c r="H149" s="405">
        <f>H150</f>
        <v>248.768</v>
      </c>
      <c r="I149" s="405">
        <f t="shared" si="45"/>
        <v>0</v>
      </c>
      <c r="J149" s="405">
        <f>J150</f>
        <v>248.768</v>
      </c>
      <c r="K149" s="405">
        <f t="shared" si="45"/>
        <v>0</v>
      </c>
      <c r="L149" s="405">
        <f t="shared" si="41"/>
        <v>0</v>
      </c>
      <c r="M149" s="405">
        <f t="shared" si="42"/>
        <v>0</v>
      </c>
    </row>
    <row r="150" spans="1:20" x14ac:dyDescent="0.2">
      <c r="A150" s="408" t="s">
        <v>73</v>
      </c>
      <c r="B150" s="394"/>
      <c r="C150" s="394"/>
      <c r="D150" s="394"/>
      <c r="E150" s="403">
        <v>7700600000</v>
      </c>
      <c r="F150" s="402"/>
      <c r="G150" s="396">
        <v>959</v>
      </c>
      <c r="H150" s="405">
        <f>'ведом 2024 пр.4'!G1524</f>
        <v>248.768</v>
      </c>
      <c r="I150" s="405">
        <f>'ведом 2024 пр.4'!H1524</f>
        <v>0</v>
      </c>
      <c r="J150" s="405">
        <f>'ведом 2024 пр.4'!I1524</f>
        <v>248.768</v>
      </c>
      <c r="K150" s="405">
        <f>'ведом 2024 пр.4'!J1524</f>
        <v>0</v>
      </c>
      <c r="L150" s="405">
        <f t="shared" si="41"/>
        <v>0</v>
      </c>
      <c r="M150" s="405">
        <f t="shared" si="42"/>
        <v>0</v>
      </c>
    </row>
    <row r="151" spans="1:20" s="116" customFormat="1" x14ac:dyDescent="0.2">
      <c r="A151" s="555" t="s">
        <v>349</v>
      </c>
      <c r="B151" s="394"/>
      <c r="C151" s="394"/>
      <c r="D151" s="394"/>
      <c r="E151" s="559">
        <v>7800000000</v>
      </c>
      <c r="F151" s="394"/>
      <c r="G151" s="563"/>
      <c r="H151" s="560">
        <f>H152+H157+H166+H174+H177</f>
        <v>944024.61814999999</v>
      </c>
      <c r="I151" s="560">
        <f>I152+I157+I166+I174+I177</f>
        <v>64232.9</v>
      </c>
      <c r="J151" s="560">
        <f>J152+J157+J166+J174+J177</f>
        <v>1050189.8877400002</v>
      </c>
      <c r="K151" s="560">
        <f>K152+K157+K166+K174+K177</f>
        <v>86910.8</v>
      </c>
      <c r="L151" s="560">
        <f t="shared" si="41"/>
        <v>106165.26959000016</v>
      </c>
      <c r="M151" s="560">
        <f t="shared" si="42"/>
        <v>22677.9</v>
      </c>
      <c r="N151" s="190">
        <f>H151-'ведом 2024 пр.4'!G2386</f>
        <v>0</v>
      </c>
      <c r="O151" s="190">
        <f>I151-'ведом 2024 пр.4'!H2386</f>
        <v>0</v>
      </c>
      <c r="P151" s="190">
        <f>J151-'ведом 2024 пр.4'!I2386</f>
        <v>0</v>
      </c>
      <c r="Q151" s="190">
        <f>K151-'ведом 2024 пр.4'!J2386</f>
        <v>0</v>
      </c>
      <c r="R151" s="190"/>
      <c r="S151" s="190"/>
      <c r="T151" s="190"/>
    </row>
    <row r="152" spans="1:20" x14ac:dyDescent="0.2">
      <c r="A152" s="406" t="str">
        <f>'ведом 2024 пр.4'!A811</f>
        <v>Подпрограмма "Развитие муниципальной системы дошкольного образования"</v>
      </c>
      <c r="B152" s="402"/>
      <c r="C152" s="402"/>
      <c r="D152" s="402"/>
      <c r="E152" s="403">
        <v>7810000000</v>
      </c>
      <c r="F152" s="402"/>
      <c r="G152" s="396"/>
      <c r="H152" s="405">
        <f t="shared" ref="H152:M152" si="46">H153+H155</f>
        <v>194873.33022999999</v>
      </c>
      <c r="I152" s="405">
        <f t="shared" si="46"/>
        <v>0</v>
      </c>
      <c r="J152" s="405">
        <f t="shared" si="46"/>
        <v>223145.42054000002</v>
      </c>
      <c r="K152" s="405">
        <f t="shared" si="46"/>
        <v>0</v>
      </c>
      <c r="L152" s="405">
        <f t="shared" si="46"/>
        <v>28272.090310000029</v>
      </c>
      <c r="M152" s="405">
        <f t="shared" si="46"/>
        <v>0</v>
      </c>
    </row>
    <row r="153" spans="1:20" x14ac:dyDescent="0.2">
      <c r="A153" s="406" t="str">
        <f>'ведом 2024 пр.4'!A812</f>
        <v>Основное мероприятие "Оказание муниципальной услуги "Организация дошкольного образования"</v>
      </c>
      <c r="B153" s="402"/>
      <c r="C153" s="402"/>
      <c r="D153" s="402"/>
      <c r="E153" s="403">
        <v>7810100000</v>
      </c>
      <c r="F153" s="402"/>
      <c r="G153" s="396"/>
      <c r="H153" s="405">
        <f>H154</f>
        <v>191279.63022999998</v>
      </c>
      <c r="I153" s="405">
        <f>I154</f>
        <v>0</v>
      </c>
      <c r="J153" s="405">
        <f>J154</f>
        <v>219551.72054000001</v>
      </c>
      <c r="K153" s="405">
        <f>K154</f>
        <v>0</v>
      </c>
      <c r="L153" s="405">
        <f t="shared" si="41"/>
        <v>28272.090310000029</v>
      </c>
      <c r="M153" s="405">
        <f t="shared" si="42"/>
        <v>0</v>
      </c>
    </row>
    <row r="154" spans="1:20" x14ac:dyDescent="0.2">
      <c r="A154" s="408" t="s">
        <v>74</v>
      </c>
      <c r="B154" s="402"/>
      <c r="C154" s="402"/>
      <c r="D154" s="402"/>
      <c r="E154" s="403">
        <v>7810100000</v>
      </c>
      <c r="F154" s="402"/>
      <c r="G154" s="396">
        <v>958</v>
      </c>
      <c r="H154" s="405">
        <f>'ведом 2024 пр.4'!G812</f>
        <v>191279.63022999998</v>
      </c>
      <c r="I154" s="405">
        <f>'ведом 2024 пр.4'!H812</f>
        <v>0</v>
      </c>
      <c r="J154" s="405">
        <f>'ведом 2024 пр.4'!I812</f>
        <v>219551.72054000001</v>
      </c>
      <c r="K154" s="405">
        <f>'ведом 2024 пр.4'!J812</f>
        <v>0</v>
      </c>
      <c r="L154" s="405">
        <f t="shared" si="41"/>
        <v>28272.090310000029</v>
      </c>
      <c r="M154" s="405">
        <f t="shared" si="42"/>
        <v>0</v>
      </c>
    </row>
    <row r="155" spans="1:20" ht="30" customHeight="1" x14ac:dyDescent="0.2">
      <c r="A155" s="406" t="str">
        <f>'ведом 2024 пр.4'!A844</f>
        <v>Основное мероприятие "Комплекс мероприятий, направленных на обеспечение функционирования МОУ, за исключением мероприятий, связанных с оказанием муниципальной услуги"</v>
      </c>
      <c r="B155" s="402"/>
      <c r="C155" s="402"/>
      <c r="D155" s="402"/>
      <c r="E155" s="403">
        <v>7810200000</v>
      </c>
      <c r="F155" s="402"/>
      <c r="G155" s="396"/>
      <c r="H155" s="405">
        <f t="shared" ref="H155:M155" si="47">H156</f>
        <v>3593.7</v>
      </c>
      <c r="I155" s="405">
        <f t="shared" si="47"/>
        <v>0</v>
      </c>
      <c r="J155" s="405">
        <f t="shared" si="47"/>
        <v>3593.7</v>
      </c>
      <c r="K155" s="405">
        <f t="shared" si="47"/>
        <v>0</v>
      </c>
      <c r="L155" s="405">
        <f t="shared" si="47"/>
        <v>0</v>
      </c>
      <c r="M155" s="405">
        <f t="shared" si="47"/>
        <v>0</v>
      </c>
    </row>
    <row r="156" spans="1:20" x14ac:dyDescent="0.2">
      <c r="A156" s="408" t="s">
        <v>74</v>
      </c>
      <c r="B156" s="402"/>
      <c r="C156" s="402"/>
      <c r="D156" s="402"/>
      <c r="E156" s="403">
        <v>7810200000</v>
      </c>
      <c r="F156" s="402"/>
      <c r="G156" s="396">
        <v>958</v>
      </c>
      <c r="H156" s="405">
        <f>'ведом 2024 пр.4'!G844</f>
        <v>3593.7</v>
      </c>
      <c r="I156" s="405">
        <f>'ведом 2024 пр.4'!H844</f>
        <v>0</v>
      </c>
      <c r="J156" s="405">
        <f>'ведом 2024 пр.4'!I844</f>
        <v>3593.7</v>
      </c>
      <c r="K156" s="405">
        <f>'ведом 2024 пр.4'!J844</f>
        <v>0</v>
      </c>
      <c r="L156" s="405">
        <f>'ведом 2024 пр.4'!K844</f>
        <v>0</v>
      </c>
      <c r="M156" s="405">
        <f>'ведом 2024 пр.4'!L844</f>
        <v>0</v>
      </c>
    </row>
    <row r="157" spans="1:20" x14ac:dyDescent="0.2">
      <c r="A157" s="406" t="str">
        <f>'ведом 2024 пр.4'!A903</f>
        <v>Подпрограмма "Общее образование"</v>
      </c>
      <c r="B157" s="402"/>
      <c r="C157" s="402"/>
      <c r="D157" s="402"/>
      <c r="E157" s="403">
        <v>7820000000</v>
      </c>
      <c r="F157" s="402"/>
      <c r="G157" s="396"/>
      <c r="H157" s="405">
        <f>H158+H164+H160+H162</f>
        <v>637262.14046000002</v>
      </c>
      <c r="I157" s="405">
        <f>I158+I164+I160+I162</f>
        <v>64232.9</v>
      </c>
      <c r="J157" s="405">
        <f>J158+J164+J160+J162</f>
        <v>682132.6221700001</v>
      </c>
      <c r="K157" s="405">
        <f>K158+K164+K160+K162</f>
        <v>86910.8</v>
      </c>
      <c r="L157" s="405">
        <f t="shared" ref="L157:L196" si="48">J157-H157</f>
        <v>44870.48171000008</v>
      </c>
      <c r="M157" s="405">
        <f t="shared" ref="M157:M196" si="49">K157-I157</f>
        <v>22677.9</v>
      </c>
    </row>
    <row r="158" spans="1:20" ht="30" x14ac:dyDescent="0.2">
      <c r="A158" s="406" t="str">
        <f>'ведом 2024 пр.4'!A904</f>
        <v>Основное мероприятие "Оказание муниципальной услуги "Реализация основных общеобразовательных программ начального, основного и среднего общего образования""</v>
      </c>
      <c r="B158" s="402"/>
      <c r="C158" s="402"/>
      <c r="D158" s="402"/>
      <c r="E158" s="403">
        <v>7820100000</v>
      </c>
      <c r="F158" s="402"/>
      <c r="G158" s="396"/>
      <c r="H158" s="405">
        <f>H159</f>
        <v>633171.94046000007</v>
      </c>
      <c r="I158" s="405">
        <f>I159</f>
        <v>60224.5</v>
      </c>
      <c r="J158" s="405">
        <f>J159</f>
        <v>678042.42217000015</v>
      </c>
      <c r="K158" s="405">
        <f>K159</f>
        <v>82902.400000000009</v>
      </c>
      <c r="L158" s="405">
        <f t="shared" si="48"/>
        <v>44870.48171000008</v>
      </c>
      <c r="M158" s="405">
        <f t="shared" si="49"/>
        <v>22677.900000000009</v>
      </c>
    </row>
    <row r="159" spans="1:20" x14ac:dyDescent="0.2">
      <c r="A159" s="408" t="s">
        <v>74</v>
      </c>
      <c r="B159" s="402"/>
      <c r="C159" s="402"/>
      <c r="D159" s="402"/>
      <c r="E159" s="403">
        <v>7820100000</v>
      </c>
      <c r="F159" s="402"/>
      <c r="G159" s="396">
        <v>958</v>
      </c>
      <c r="H159" s="405">
        <f>'ведом 2024 пр.4'!G904+'ведом 2024 пр.4'!G1076</f>
        <v>633171.94046000007</v>
      </c>
      <c r="I159" s="405">
        <f>'ведом 2024 пр.4'!H904+'ведом 2024 пр.4'!H1076</f>
        <v>60224.5</v>
      </c>
      <c r="J159" s="405">
        <f>'ведом 2024 пр.4'!I904+'ведом 2024 пр.4'!I1076</f>
        <v>678042.42217000015</v>
      </c>
      <c r="K159" s="405">
        <f>'ведом 2024 пр.4'!J904+'ведом 2024 пр.4'!J1076</f>
        <v>82902.400000000009</v>
      </c>
      <c r="L159" s="405">
        <f t="shared" si="48"/>
        <v>44870.48171000008</v>
      </c>
      <c r="M159" s="405">
        <f t="shared" si="49"/>
        <v>22677.900000000009</v>
      </c>
    </row>
    <row r="160" spans="1:20" ht="37.5" hidden="1" customHeight="1" x14ac:dyDescent="0.2">
      <c r="A160" s="408"/>
      <c r="B160" s="402"/>
      <c r="C160" s="402"/>
      <c r="D160" s="402"/>
      <c r="E160" s="403">
        <v>7820200000</v>
      </c>
      <c r="F160" s="402"/>
      <c r="G160" s="396"/>
      <c r="H160" s="405">
        <f>H161</f>
        <v>0</v>
      </c>
      <c r="I160" s="405">
        <f>I161</f>
        <v>0</v>
      </c>
      <c r="J160" s="405">
        <f>J161</f>
        <v>0</v>
      </c>
      <c r="K160" s="405">
        <f>K161</f>
        <v>0</v>
      </c>
      <c r="L160" s="405">
        <f t="shared" si="48"/>
        <v>0</v>
      </c>
      <c r="M160" s="405">
        <f t="shared" si="49"/>
        <v>0</v>
      </c>
    </row>
    <row r="161" spans="1:14" ht="17.25" hidden="1" customHeight="1" x14ac:dyDescent="0.2">
      <c r="A161" s="408" t="s">
        <v>74</v>
      </c>
      <c r="B161" s="402"/>
      <c r="C161" s="402"/>
      <c r="D161" s="402"/>
      <c r="E161" s="403">
        <v>7820200000</v>
      </c>
      <c r="F161" s="402"/>
      <c r="G161" s="396">
        <v>958</v>
      </c>
      <c r="H161" s="405">
        <v>0</v>
      </c>
      <c r="I161" s="405">
        <v>0</v>
      </c>
      <c r="J161" s="405">
        <v>0</v>
      </c>
      <c r="K161" s="405">
        <v>0</v>
      </c>
      <c r="L161" s="405">
        <f t="shared" si="48"/>
        <v>0</v>
      </c>
      <c r="M161" s="405">
        <f t="shared" si="49"/>
        <v>0</v>
      </c>
    </row>
    <row r="162" spans="1:14" ht="17.25" hidden="1" customHeight="1" x14ac:dyDescent="0.2">
      <c r="A162" s="406" t="str">
        <f>'ведом 2024 пр.4'!A952</f>
        <v>Федеральный проект "Успех каждого ребенка"</v>
      </c>
      <c r="B162" s="402"/>
      <c r="C162" s="402"/>
      <c r="D162" s="402"/>
      <c r="E162" s="403" t="str">
        <f>'ведом 2024 пр.4'!E952</f>
        <v>782Е200000</v>
      </c>
      <c r="F162" s="402"/>
      <c r="G162" s="396"/>
      <c r="H162" s="405">
        <f>H163</f>
        <v>0</v>
      </c>
      <c r="I162" s="405">
        <f>I163</f>
        <v>0</v>
      </c>
      <c r="J162" s="405">
        <f>J163</f>
        <v>0</v>
      </c>
      <c r="K162" s="405">
        <f>K163</f>
        <v>0</v>
      </c>
      <c r="L162" s="405">
        <f t="shared" si="48"/>
        <v>0</v>
      </c>
      <c r="M162" s="405">
        <f t="shared" si="49"/>
        <v>0</v>
      </c>
    </row>
    <row r="163" spans="1:14" ht="17.25" hidden="1" customHeight="1" x14ac:dyDescent="0.2">
      <c r="A163" s="408" t="s">
        <v>74</v>
      </c>
      <c r="B163" s="402"/>
      <c r="C163" s="402"/>
      <c r="D163" s="402"/>
      <c r="E163" s="403" t="s">
        <v>1819</v>
      </c>
      <c r="F163" s="402"/>
      <c r="G163" s="396">
        <v>958</v>
      </c>
      <c r="H163" s="405">
        <f>'ведом 2024 пр.4'!G952</f>
        <v>0</v>
      </c>
      <c r="I163" s="405">
        <f>'ведом 2024 пр.4'!H952</f>
        <v>0</v>
      </c>
      <c r="J163" s="405">
        <f>'ведом 2024 пр.4'!I952</f>
        <v>0</v>
      </c>
      <c r="K163" s="405">
        <f>'ведом 2024 пр.4'!J952</f>
        <v>0</v>
      </c>
      <c r="L163" s="405">
        <f t="shared" si="48"/>
        <v>0</v>
      </c>
      <c r="M163" s="405">
        <f t="shared" si="49"/>
        <v>0</v>
      </c>
    </row>
    <row r="164" spans="1:14" ht="17.25" customHeight="1" x14ac:dyDescent="0.2">
      <c r="A164" s="406" t="str">
        <f>'ведом 2024 пр.4'!A955</f>
        <v>Федеральный проект "Патриотическое воспитание граждан Российской Федерации"</v>
      </c>
      <c r="B164" s="402"/>
      <c r="C164" s="402"/>
      <c r="D164" s="402"/>
      <c r="E164" s="499" t="str">
        <f>'ведом 2024 пр.4'!E955</f>
        <v>782EВ00000</v>
      </c>
      <c r="F164" s="402"/>
      <c r="G164" s="396"/>
      <c r="H164" s="405">
        <f>H165</f>
        <v>4090.2</v>
      </c>
      <c r="I164" s="405">
        <f>I165</f>
        <v>4008.3999999999996</v>
      </c>
      <c r="J164" s="405">
        <f>J165</f>
        <v>4090.2</v>
      </c>
      <c r="K164" s="405">
        <f>K165</f>
        <v>4008.3999999999996</v>
      </c>
      <c r="L164" s="405">
        <f t="shared" si="48"/>
        <v>0</v>
      </c>
      <c r="M164" s="405">
        <f t="shared" si="49"/>
        <v>0</v>
      </c>
    </row>
    <row r="165" spans="1:14" ht="17.25" customHeight="1" x14ac:dyDescent="0.2">
      <c r="A165" s="408" t="s">
        <v>74</v>
      </c>
      <c r="B165" s="402"/>
      <c r="C165" s="402"/>
      <c r="D165" s="402"/>
      <c r="E165" s="499" t="str">
        <f>'ведом 2024 пр.4'!E955</f>
        <v>782EВ00000</v>
      </c>
      <c r="F165" s="402"/>
      <c r="G165" s="396">
        <v>958</v>
      </c>
      <c r="H165" s="405">
        <f>'ведом 2024 пр.4'!G955+'ведом 2024 пр.4'!G1104</f>
        <v>4090.2</v>
      </c>
      <c r="I165" s="405">
        <f>'ведом 2024 пр.4'!H955+'ведом 2024 пр.4'!H1104</f>
        <v>4008.3999999999996</v>
      </c>
      <c r="J165" s="405">
        <f>'ведом 2024 пр.4'!I955+'ведом 2024 пр.4'!I1104</f>
        <v>4090.2</v>
      </c>
      <c r="K165" s="405">
        <f>'ведом 2024 пр.4'!J955+'ведом 2024 пр.4'!J1104</f>
        <v>4008.3999999999996</v>
      </c>
      <c r="L165" s="405">
        <f t="shared" si="48"/>
        <v>0</v>
      </c>
      <c r="M165" s="405">
        <f t="shared" si="49"/>
        <v>0</v>
      </c>
    </row>
    <row r="166" spans="1:14" x14ac:dyDescent="0.2">
      <c r="A166" s="406" t="str">
        <f>'ведом 2024 пр.4'!A1017</f>
        <v>Подпрограмма "Развитие дополнительного образования"</v>
      </c>
      <c r="B166" s="402"/>
      <c r="C166" s="402"/>
      <c r="D166" s="402"/>
      <c r="E166" s="403">
        <v>7830000000</v>
      </c>
      <c r="F166" s="402"/>
      <c r="G166" s="396"/>
      <c r="H166" s="405">
        <f>H167+H169+H171</f>
        <v>47596.580220000003</v>
      </c>
      <c r="I166" s="405">
        <f>I167+I169+I171</f>
        <v>0</v>
      </c>
      <c r="J166" s="405">
        <f>J167+J169+J171</f>
        <v>59356.073260000005</v>
      </c>
      <c r="K166" s="405">
        <f>K167+K169+K171</f>
        <v>0</v>
      </c>
      <c r="L166" s="405">
        <f t="shared" si="48"/>
        <v>11759.493040000001</v>
      </c>
      <c r="M166" s="405">
        <f t="shared" si="49"/>
        <v>0</v>
      </c>
    </row>
    <row r="167" spans="1:14" x14ac:dyDescent="0.2">
      <c r="A167" s="406" t="str">
        <f>'ведом 2024 пр.4'!A1018</f>
        <v>Основное мероприятие "Реализация образовательных программ дополнительного образования"</v>
      </c>
      <c r="B167" s="402"/>
      <c r="C167" s="402"/>
      <c r="D167" s="402"/>
      <c r="E167" s="403">
        <v>7830100000</v>
      </c>
      <c r="F167" s="402"/>
      <c r="G167" s="396"/>
      <c r="H167" s="405">
        <f>H168</f>
        <v>47596.580220000003</v>
      </c>
      <c r="I167" s="405">
        <f>I168</f>
        <v>0</v>
      </c>
      <c r="J167" s="405">
        <f>J168</f>
        <v>59356.073260000005</v>
      </c>
      <c r="K167" s="405">
        <f>K168</f>
        <v>0</v>
      </c>
      <c r="L167" s="405">
        <f t="shared" si="48"/>
        <v>11759.493040000001</v>
      </c>
      <c r="M167" s="405">
        <f t="shared" si="49"/>
        <v>0</v>
      </c>
    </row>
    <row r="168" spans="1:14" x14ac:dyDescent="0.2">
      <c r="A168" s="408" t="s">
        <v>74</v>
      </c>
      <c r="B168" s="402"/>
      <c r="C168" s="402"/>
      <c r="D168" s="402"/>
      <c r="E168" s="403">
        <v>7830100000</v>
      </c>
      <c r="F168" s="402"/>
      <c r="G168" s="396">
        <v>958</v>
      </c>
      <c r="H168" s="405">
        <f>'ведом 2024 пр.4'!G1018</f>
        <v>47596.580220000003</v>
      </c>
      <c r="I168" s="405">
        <f>'ведом 2024 пр.4'!H1018</f>
        <v>0</v>
      </c>
      <c r="J168" s="405">
        <f>'ведом 2024 пр.4'!I1018</f>
        <v>59356.073260000005</v>
      </c>
      <c r="K168" s="405">
        <f>'ведом 2024 пр.4'!J1018</f>
        <v>0</v>
      </c>
      <c r="L168" s="405">
        <f t="shared" si="48"/>
        <v>11759.493040000001</v>
      </c>
      <c r="M168" s="405">
        <f t="shared" si="49"/>
        <v>0</v>
      </c>
    </row>
    <row r="169" spans="1:14" ht="31.5" hidden="1" customHeight="1" x14ac:dyDescent="0.2">
      <c r="A169" s="406" t="str">
        <f>'ведом 2024 пр.4'!A1031</f>
        <v>Основное мероприятие "Мероприятия, направленные на обеспечение функционирования МОУ, за исключением мероприятий, связанных с оказанием муниципальной услуги"</v>
      </c>
      <c r="B169" s="402"/>
      <c r="C169" s="402"/>
      <c r="D169" s="402"/>
      <c r="E169" s="403">
        <v>7830200000</v>
      </c>
      <c r="F169" s="402"/>
      <c r="G169" s="396"/>
      <c r="H169" s="405">
        <f>H170</f>
        <v>0</v>
      </c>
      <c r="I169" s="405">
        <f>I170</f>
        <v>0</v>
      </c>
      <c r="J169" s="405">
        <f>J170</f>
        <v>0</v>
      </c>
      <c r="K169" s="405">
        <f>K170</f>
        <v>0</v>
      </c>
      <c r="L169" s="405">
        <f t="shared" si="48"/>
        <v>0</v>
      </c>
      <c r="M169" s="405">
        <f t="shared" si="49"/>
        <v>0</v>
      </c>
    </row>
    <row r="170" spans="1:14" ht="16.5" hidden="1" customHeight="1" x14ac:dyDescent="0.2">
      <c r="A170" s="408" t="s">
        <v>74</v>
      </c>
      <c r="B170" s="402"/>
      <c r="C170" s="402"/>
      <c r="D170" s="402"/>
      <c r="E170" s="403">
        <v>7830200000</v>
      </c>
      <c r="F170" s="402"/>
      <c r="G170" s="396">
        <v>958</v>
      </c>
      <c r="H170" s="405">
        <f>'ведом 2024 пр.4'!G1031</f>
        <v>0</v>
      </c>
      <c r="I170" s="405">
        <f>'ведом 2024 пр.4'!H1031</f>
        <v>0</v>
      </c>
      <c r="J170" s="405">
        <f>'ведом 2024 пр.4'!I1031</f>
        <v>0</v>
      </c>
      <c r="K170" s="405">
        <f>'ведом 2024 пр.4'!J1031</f>
        <v>0</v>
      </c>
      <c r="L170" s="405">
        <f t="shared" si="48"/>
        <v>0</v>
      </c>
      <c r="M170" s="405">
        <f t="shared" si="49"/>
        <v>0</v>
      </c>
    </row>
    <row r="171" spans="1:14" ht="16.5" hidden="1" customHeight="1" x14ac:dyDescent="0.2">
      <c r="A171" s="406" t="str">
        <f>'ведом 2024 пр.4'!A1034</f>
        <v>Национальный проект "Образование"</v>
      </c>
      <c r="B171" s="402"/>
      <c r="C171" s="402"/>
      <c r="D171" s="402"/>
      <c r="E171" s="403" t="s">
        <v>1445</v>
      </c>
      <c r="F171" s="402"/>
      <c r="G171" s="396"/>
      <c r="H171" s="405">
        <f>H172</f>
        <v>0</v>
      </c>
      <c r="I171" s="405">
        <f t="shared" ref="I171:K172" si="50">I172</f>
        <v>0</v>
      </c>
      <c r="J171" s="405">
        <f>J172</f>
        <v>0</v>
      </c>
      <c r="K171" s="405">
        <f t="shared" si="50"/>
        <v>0</v>
      </c>
      <c r="L171" s="405">
        <f t="shared" si="48"/>
        <v>0</v>
      </c>
      <c r="M171" s="405">
        <f t="shared" si="49"/>
        <v>0</v>
      </c>
    </row>
    <row r="172" spans="1:14" ht="16.5" hidden="1" customHeight="1" x14ac:dyDescent="0.2">
      <c r="A172" s="406" t="str">
        <f>'ведом 2024 пр.4'!A1035</f>
        <v>Федеральный проект «Цифровая образовательная среда»</v>
      </c>
      <c r="B172" s="402"/>
      <c r="C172" s="402"/>
      <c r="D172" s="402"/>
      <c r="E172" s="403" t="s">
        <v>1446</v>
      </c>
      <c r="F172" s="402"/>
      <c r="G172" s="396"/>
      <c r="H172" s="405">
        <f>H173</f>
        <v>0</v>
      </c>
      <c r="I172" s="405">
        <f t="shared" si="50"/>
        <v>0</v>
      </c>
      <c r="J172" s="405">
        <f>J173</f>
        <v>0</v>
      </c>
      <c r="K172" s="405">
        <f t="shared" si="50"/>
        <v>0</v>
      </c>
      <c r="L172" s="405">
        <f t="shared" si="48"/>
        <v>0</v>
      </c>
      <c r="M172" s="405">
        <f t="shared" si="49"/>
        <v>0</v>
      </c>
    </row>
    <row r="173" spans="1:14" ht="16.5" hidden="1" customHeight="1" x14ac:dyDescent="0.2">
      <c r="A173" s="408" t="s">
        <v>74</v>
      </c>
      <c r="B173" s="402"/>
      <c r="C173" s="402"/>
      <c r="D173" s="402"/>
      <c r="E173" s="403" t="s">
        <v>1446</v>
      </c>
      <c r="F173" s="402"/>
      <c r="G173" s="396">
        <v>958</v>
      </c>
      <c r="H173" s="405">
        <f>'ведом 2024 пр.4'!G1035</f>
        <v>0</v>
      </c>
      <c r="I173" s="405">
        <f>'ведом 2024 пр.4'!H1035</f>
        <v>0</v>
      </c>
      <c r="J173" s="405">
        <f>'ведом 2024 пр.4'!I1035</f>
        <v>0</v>
      </c>
      <c r="K173" s="405">
        <f>'ведом 2024 пр.4'!J1035</f>
        <v>0</v>
      </c>
      <c r="L173" s="405">
        <f t="shared" si="48"/>
        <v>0</v>
      </c>
      <c r="M173" s="405">
        <f t="shared" si="49"/>
        <v>0</v>
      </c>
    </row>
    <row r="174" spans="1:14" x14ac:dyDescent="0.2">
      <c r="A174" s="406" t="str">
        <f>'ведом 2024 пр.4'!A959</f>
        <v>Подпрограмма "Развитие кадровой политики образования"</v>
      </c>
      <c r="B174" s="402"/>
      <c r="C174" s="402"/>
      <c r="D174" s="402"/>
      <c r="E174" s="403">
        <v>7840000000</v>
      </c>
      <c r="F174" s="402"/>
      <c r="G174" s="396"/>
      <c r="H174" s="405">
        <f t="shared" ref="H174:K175" si="51">H175</f>
        <v>713.3</v>
      </c>
      <c r="I174" s="405">
        <f t="shared" si="51"/>
        <v>0</v>
      </c>
      <c r="J174" s="405">
        <f t="shared" si="51"/>
        <v>219.1</v>
      </c>
      <c r="K174" s="405">
        <f t="shared" si="51"/>
        <v>0</v>
      </c>
      <c r="L174" s="405">
        <f t="shared" si="48"/>
        <v>-494.19999999999993</v>
      </c>
      <c r="M174" s="405">
        <f t="shared" si="49"/>
        <v>0</v>
      </c>
    </row>
    <row r="175" spans="1:14" ht="30" x14ac:dyDescent="0.2">
      <c r="A175" s="406" t="str">
        <f>'ведом 2024 пр.4'!A960</f>
        <v>Основное мероприятие "Оказание муниципальной услуги "Развитие кадрового потенциала системы общего образования""</v>
      </c>
      <c r="B175" s="402"/>
      <c r="C175" s="402"/>
      <c r="D175" s="402"/>
      <c r="E175" s="403">
        <v>7840100000</v>
      </c>
      <c r="F175" s="402"/>
      <c r="G175" s="396"/>
      <c r="H175" s="405">
        <f>H176</f>
        <v>713.3</v>
      </c>
      <c r="I175" s="405">
        <f t="shared" si="51"/>
        <v>0</v>
      </c>
      <c r="J175" s="405">
        <f>J176</f>
        <v>219.1</v>
      </c>
      <c r="K175" s="405">
        <f t="shared" si="51"/>
        <v>0</v>
      </c>
      <c r="L175" s="405">
        <f t="shared" si="48"/>
        <v>-494.19999999999993</v>
      </c>
      <c r="M175" s="405">
        <f t="shared" si="49"/>
        <v>0</v>
      </c>
      <c r="N175" s="160" t="s">
        <v>1550</v>
      </c>
    </row>
    <row r="176" spans="1:14" x14ac:dyDescent="0.2">
      <c r="A176" s="408" t="s">
        <v>74</v>
      </c>
      <c r="B176" s="402"/>
      <c r="C176" s="402"/>
      <c r="D176" s="402"/>
      <c r="E176" s="403">
        <v>7840100000</v>
      </c>
      <c r="F176" s="402"/>
      <c r="G176" s="396">
        <v>958</v>
      </c>
      <c r="H176" s="405">
        <f>'ведом 2024 пр.4'!G960</f>
        <v>713.3</v>
      </c>
      <c r="I176" s="405">
        <f>'ведом 2024 пр.4'!H960</f>
        <v>0</v>
      </c>
      <c r="J176" s="405">
        <f>'ведом 2024 пр.4'!I960</f>
        <v>219.1</v>
      </c>
      <c r="K176" s="405">
        <f>'ведом 2024 пр.4'!J960</f>
        <v>0</v>
      </c>
      <c r="L176" s="405">
        <f t="shared" si="48"/>
        <v>-494.19999999999993</v>
      </c>
      <c r="M176" s="405">
        <f t="shared" si="49"/>
        <v>0</v>
      </c>
    </row>
    <row r="177" spans="1:17" ht="30" x14ac:dyDescent="0.2">
      <c r="A177" s="406" t="str">
        <f>'ведом 2024 пр.4'!A1107</f>
        <v>Подпрограмма "Совершенствование муниципального управления в сфере образования в муниципальном образовании "Закаменский район""</v>
      </c>
      <c r="B177" s="402"/>
      <c r="C177" s="402"/>
      <c r="D177" s="402"/>
      <c r="E177" s="403">
        <v>7850000000</v>
      </c>
      <c r="F177" s="402"/>
      <c r="G177" s="396"/>
      <c r="H177" s="405">
        <f>H178</f>
        <v>63579.267239999994</v>
      </c>
      <c r="I177" s="405">
        <f t="shared" ref="I177:K178" si="52">I178</f>
        <v>0</v>
      </c>
      <c r="J177" s="405">
        <f>J178</f>
        <v>85336.671769999986</v>
      </c>
      <c r="K177" s="405">
        <f t="shared" si="52"/>
        <v>0</v>
      </c>
      <c r="L177" s="405">
        <f t="shared" si="48"/>
        <v>21757.404529999993</v>
      </c>
      <c r="M177" s="405">
        <f t="shared" si="49"/>
        <v>0</v>
      </c>
    </row>
    <row r="178" spans="1:17" x14ac:dyDescent="0.2">
      <c r="A178" s="406" t="str">
        <f>'ведом 2024 пр.4'!A1108</f>
        <v>Основное мероприятие "Совершенствование управления системой образования"</v>
      </c>
      <c r="B178" s="402"/>
      <c r="C178" s="402"/>
      <c r="D178" s="402"/>
      <c r="E178" s="403">
        <v>7850100000</v>
      </c>
      <c r="F178" s="402"/>
      <c r="G178" s="396"/>
      <c r="H178" s="405">
        <f>H179</f>
        <v>63579.267239999994</v>
      </c>
      <c r="I178" s="405">
        <f t="shared" si="52"/>
        <v>0</v>
      </c>
      <c r="J178" s="405">
        <f>J179</f>
        <v>85336.671769999986</v>
      </c>
      <c r="K178" s="405">
        <f t="shared" si="52"/>
        <v>0</v>
      </c>
      <c r="L178" s="405">
        <f t="shared" si="48"/>
        <v>21757.404529999993</v>
      </c>
      <c r="M178" s="405">
        <f t="shared" si="49"/>
        <v>0</v>
      </c>
    </row>
    <row r="179" spans="1:17" x14ac:dyDescent="0.2">
      <c r="A179" s="408" t="s">
        <v>74</v>
      </c>
      <c r="B179" s="402"/>
      <c r="C179" s="402"/>
      <c r="D179" s="402"/>
      <c r="E179" s="403">
        <v>7850100000</v>
      </c>
      <c r="F179" s="402"/>
      <c r="G179" s="396">
        <v>958</v>
      </c>
      <c r="H179" s="405">
        <f>'ведом 2024 пр.4'!G965+'ведом 2024 пр.4'!G1108</f>
        <v>63579.267239999994</v>
      </c>
      <c r="I179" s="405">
        <f>'ведом 2024 пр.4'!H965+'ведом 2024 пр.4'!H1108</f>
        <v>0</v>
      </c>
      <c r="J179" s="405">
        <f>'ведом 2024 пр.4'!I965+'ведом 2024 пр.4'!I1108</f>
        <v>85336.671769999986</v>
      </c>
      <c r="K179" s="405">
        <f>'ведом 2024 пр.4'!J965+'ведом 2024 пр.4'!J1108</f>
        <v>0</v>
      </c>
      <c r="L179" s="405">
        <f t="shared" si="48"/>
        <v>21757.404529999993</v>
      </c>
      <c r="M179" s="405">
        <f t="shared" si="49"/>
        <v>0</v>
      </c>
    </row>
    <row r="180" spans="1:17" ht="28.5" x14ac:dyDescent="0.2">
      <c r="A180" s="562" t="str">
        <f>'ведом 2024 пр.4'!A974</f>
        <v xml:space="preserve">        Муниципальная программа "Энергосбережение и повышение энергетической эффективности на территории муниципального образования "Закаменский район" на 2022-2025 гг."</v>
      </c>
      <c r="B180" s="394"/>
      <c r="C180" s="394"/>
      <c r="D180" s="394"/>
      <c r="E180" s="559" t="s">
        <v>1547</v>
      </c>
      <c r="F180" s="394"/>
      <c r="G180" s="561"/>
      <c r="H180" s="560">
        <f>H181+H186+H184+H188+H190+H192</f>
        <v>50244.331560000006</v>
      </c>
      <c r="I180" s="560">
        <f t="shared" ref="I180:M180" si="53">I181+I186+I184+I188+I190+I192</f>
        <v>0</v>
      </c>
      <c r="J180" s="560">
        <f t="shared" si="53"/>
        <v>130242.45396</v>
      </c>
      <c r="K180" s="560">
        <f t="shared" si="53"/>
        <v>0</v>
      </c>
      <c r="L180" s="560">
        <f t="shared" si="53"/>
        <v>79998.122399999993</v>
      </c>
      <c r="M180" s="560">
        <f t="shared" si="53"/>
        <v>0</v>
      </c>
      <c r="N180" s="39">
        <f>H180-'ведом 2024 пр.4'!G2390</f>
        <v>0</v>
      </c>
      <c r="O180" s="39">
        <f>I180-'ведом 2024 пр.4'!H2390</f>
        <v>0</v>
      </c>
      <c r="P180" s="39">
        <f>J180-'ведом 2024 пр.4'!I2390</f>
        <v>0</v>
      </c>
      <c r="Q180" s="39">
        <f>K180-'ведом 2024 пр.4'!J2390</f>
        <v>0</v>
      </c>
    </row>
    <row r="181" spans="1:17" ht="30" x14ac:dyDescent="0.2">
      <c r="A181" s="406" t="str">
        <f>'ведом 2024 пр.4'!A975</f>
        <v xml:space="preserve">          Основное мероприятие "Первоочередные мероприятия по модернизации, капитальному ремонту и подготовке к отопительному сезону"</v>
      </c>
      <c r="B181" s="402"/>
      <c r="C181" s="402"/>
      <c r="D181" s="402"/>
      <c r="E181" s="403" t="s">
        <v>1548</v>
      </c>
      <c r="F181" s="402"/>
      <c r="G181" s="396"/>
      <c r="H181" s="405">
        <f>H182+H183</f>
        <v>4625.37</v>
      </c>
      <c r="I181" s="405">
        <f>I182+I183</f>
        <v>0</v>
      </c>
      <c r="J181" s="405">
        <f>J182+J183</f>
        <v>4596.9392400000006</v>
      </c>
      <c r="K181" s="405">
        <f>K182+K183</f>
        <v>0</v>
      </c>
      <c r="L181" s="405">
        <f t="shared" si="48"/>
        <v>-28.430759999999282</v>
      </c>
      <c r="M181" s="405">
        <f t="shared" si="49"/>
        <v>0</v>
      </c>
    </row>
    <row r="182" spans="1:17" x14ac:dyDescent="0.2">
      <c r="A182" s="408" t="s">
        <v>74</v>
      </c>
      <c r="B182" s="402"/>
      <c r="C182" s="402"/>
      <c r="D182" s="402"/>
      <c r="E182" s="403" t="s">
        <v>1548</v>
      </c>
      <c r="F182" s="402"/>
      <c r="G182" s="396">
        <v>958</v>
      </c>
      <c r="H182" s="405">
        <f>'ведом 2024 пр.4'!G1172+'ведом 2024 пр.4'!G975</f>
        <v>3604.9618399999999</v>
      </c>
      <c r="I182" s="405">
        <f>'ведом 2024 пр.4'!H1172+'ведом 2024 пр.4'!H975</f>
        <v>0</v>
      </c>
      <c r="J182" s="405">
        <f>'ведом 2024 пр.4'!I1172+'ведом 2024 пр.4'!I975</f>
        <v>3622.4503900000004</v>
      </c>
      <c r="K182" s="405">
        <f>'ведом 2024 пр.4'!J1172+'ведом 2024 пр.4'!J975</f>
        <v>0</v>
      </c>
      <c r="L182" s="405">
        <f t="shared" si="48"/>
        <v>17.488550000000487</v>
      </c>
      <c r="M182" s="405">
        <f t="shared" si="49"/>
        <v>0</v>
      </c>
    </row>
    <row r="183" spans="1:17" ht="18.75" customHeight="1" x14ac:dyDescent="0.2">
      <c r="A183" s="408" t="s">
        <v>73</v>
      </c>
      <c r="B183" s="402"/>
      <c r="C183" s="402"/>
      <c r="D183" s="402"/>
      <c r="E183" s="403" t="s">
        <v>1548</v>
      </c>
      <c r="F183" s="402"/>
      <c r="G183" s="396">
        <v>959</v>
      </c>
      <c r="H183" s="405">
        <f>'ведом 2024 пр.4'!G1434</f>
        <v>1020.40816</v>
      </c>
      <c r="I183" s="405">
        <f>'ведом 2024 пр.4'!H1434</f>
        <v>0</v>
      </c>
      <c r="J183" s="405">
        <f>'ведом 2024 пр.4'!I1434</f>
        <v>974.48884999999996</v>
      </c>
      <c r="K183" s="405">
        <f>'ведом 2024 пр.4'!J1434</f>
        <v>0</v>
      </c>
      <c r="L183" s="405">
        <f t="shared" si="48"/>
        <v>-45.919309999999996</v>
      </c>
      <c r="M183" s="405">
        <f t="shared" si="49"/>
        <v>0</v>
      </c>
    </row>
    <row r="184" spans="1:17" ht="28.5" hidden="1" customHeight="1" x14ac:dyDescent="0.2">
      <c r="A184" s="406" t="str">
        <f>'ведом 2024 пр.4'!A1437</f>
        <v xml:space="preserve">          Основное мероприятие "Капитальный ремонт теплотрассы от ТК9 до ТК13 г.Закаменск"</v>
      </c>
      <c r="B184" s="402"/>
      <c r="C184" s="402"/>
      <c r="D184" s="402"/>
      <c r="E184" s="403" t="s">
        <v>1560</v>
      </c>
      <c r="F184" s="402"/>
      <c r="G184" s="396"/>
      <c r="H184" s="405">
        <f>H185</f>
        <v>0</v>
      </c>
      <c r="I184" s="405">
        <f>I185</f>
        <v>0</v>
      </c>
      <c r="J184" s="405">
        <f>J185</f>
        <v>0</v>
      </c>
      <c r="K184" s="405">
        <f>K185</f>
        <v>0</v>
      </c>
      <c r="L184" s="405">
        <f t="shared" si="48"/>
        <v>0</v>
      </c>
      <c r="M184" s="405">
        <f t="shared" si="49"/>
        <v>0</v>
      </c>
    </row>
    <row r="185" spans="1:17" ht="28.5" hidden="1" customHeight="1" x14ac:dyDescent="0.2">
      <c r="A185" s="408" t="s">
        <v>73</v>
      </c>
      <c r="B185" s="402"/>
      <c r="C185" s="402"/>
      <c r="D185" s="402"/>
      <c r="E185" s="403" t="s">
        <v>1560</v>
      </c>
      <c r="F185" s="402"/>
      <c r="G185" s="396">
        <v>959</v>
      </c>
      <c r="H185" s="405">
        <f>'ведом 2024 пр.4'!G1437</f>
        <v>0</v>
      </c>
      <c r="I185" s="405">
        <f>'ведом 2024 пр.4'!H1437</f>
        <v>0</v>
      </c>
      <c r="J185" s="405">
        <f>'ведом 2024 пр.4'!I1437</f>
        <v>0</v>
      </c>
      <c r="K185" s="405">
        <f>'ведом 2024 пр.4'!J1437</f>
        <v>0</v>
      </c>
      <c r="L185" s="405">
        <f t="shared" si="48"/>
        <v>0</v>
      </c>
      <c r="M185" s="405">
        <f t="shared" si="49"/>
        <v>0</v>
      </c>
    </row>
    <row r="186" spans="1:17" ht="28.5" customHeight="1" x14ac:dyDescent="0.2">
      <c r="A186" s="406" t="str">
        <f>'ведом 2024 пр.4'!A1440</f>
        <v>Основное мероприятие "Компенсация разницы между фактическим удельным расходом топлива и нормативным, учтенным в тарифе на тепловую энергию"</v>
      </c>
      <c r="B186" s="402"/>
      <c r="C186" s="402"/>
      <c r="D186" s="402"/>
      <c r="E186" s="403" t="s">
        <v>1562</v>
      </c>
      <c r="F186" s="402"/>
      <c r="G186" s="396"/>
      <c r="H186" s="405">
        <f>H187</f>
        <v>45618.961560000003</v>
      </c>
      <c r="I186" s="405">
        <f>I187</f>
        <v>0</v>
      </c>
      <c r="J186" s="405">
        <f>J187</f>
        <v>50228.514719999999</v>
      </c>
      <c r="K186" s="405">
        <f>K187</f>
        <v>0</v>
      </c>
      <c r="L186" s="405">
        <f t="shared" si="48"/>
        <v>4609.5531599999958</v>
      </c>
      <c r="M186" s="405">
        <f t="shared" si="49"/>
        <v>0</v>
      </c>
    </row>
    <row r="187" spans="1:17" ht="20.25" customHeight="1" x14ac:dyDescent="0.2">
      <c r="A187" s="408" t="s">
        <v>73</v>
      </c>
      <c r="B187" s="402"/>
      <c r="C187" s="402"/>
      <c r="D187" s="402"/>
      <c r="E187" s="403" t="s">
        <v>1562</v>
      </c>
      <c r="F187" s="402"/>
      <c r="G187" s="396">
        <v>959</v>
      </c>
      <c r="H187" s="405">
        <f>'ведом 2024 пр.4'!G1440</f>
        <v>45618.961560000003</v>
      </c>
      <c r="I187" s="405">
        <f>'ведом 2024 пр.4'!H1440</f>
        <v>0</v>
      </c>
      <c r="J187" s="405">
        <f>'ведом 2024 пр.4'!I1440</f>
        <v>50228.514719999999</v>
      </c>
      <c r="K187" s="405">
        <f>'ведом 2024 пр.4'!J1440</f>
        <v>0</v>
      </c>
      <c r="L187" s="405">
        <f t="shared" si="48"/>
        <v>4609.5531599999958</v>
      </c>
      <c r="M187" s="405">
        <f t="shared" si="49"/>
        <v>0</v>
      </c>
    </row>
    <row r="188" spans="1:17" hidden="1" x14ac:dyDescent="0.2">
      <c r="A188" s="406" t="str">
        <f>'ведом 2024 пр.4'!A1443</f>
        <v>Основное мероприятие "Капитальный ремонт теплотрассы от ТК6 до ТК9 ул.Гагарина, 21 - Гагарина, 1 г.Закаменск"</v>
      </c>
      <c r="B188" s="402"/>
      <c r="C188" s="402"/>
      <c r="D188" s="402"/>
      <c r="E188" s="403" t="s">
        <v>1699</v>
      </c>
      <c r="F188" s="402"/>
      <c r="G188" s="396"/>
      <c r="H188" s="405">
        <f>H189</f>
        <v>0</v>
      </c>
      <c r="I188" s="405">
        <f>I189</f>
        <v>0</v>
      </c>
      <c r="J188" s="405">
        <f>J189</f>
        <v>0</v>
      </c>
      <c r="K188" s="405">
        <f>K189</f>
        <v>0</v>
      </c>
      <c r="L188" s="405">
        <f t="shared" si="48"/>
        <v>0</v>
      </c>
      <c r="M188" s="405">
        <f t="shared" si="49"/>
        <v>0</v>
      </c>
    </row>
    <row r="189" spans="1:17" hidden="1" x14ac:dyDescent="0.2">
      <c r="A189" s="408" t="s">
        <v>73</v>
      </c>
      <c r="B189" s="402"/>
      <c r="C189" s="402"/>
      <c r="D189" s="402"/>
      <c r="E189" s="403" t="s">
        <v>1699</v>
      </c>
      <c r="F189" s="402"/>
      <c r="G189" s="396">
        <v>959</v>
      </c>
      <c r="H189" s="405">
        <f>'ведом 2024 пр.4'!G1443</f>
        <v>0</v>
      </c>
      <c r="I189" s="405">
        <f>'ведом 2024 пр.4'!H1442</f>
        <v>0</v>
      </c>
      <c r="J189" s="405">
        <f>'ведом 2024 пр.4'!I1443</f>
        <v>0</v>
      </c>
      <c r="K189" s="405">
        <f>'ведом 2024 пр.4'!J1443</f>
        <v>0</v>
      </c>
      <c r="L189" s="405">
        <f t="shared" si="48"/>
        <v>0</v>
      </c>
      <c r="M189" s="405">
        <f t="shared" si="49"/>
        <v>0</v>
      </c>
    </row>
    <row r="190" spans="1:17" x14ac:dyDescent="0.2">
      <c r="A190" s="406" t="str">
        <f>'ведом 2024 пр.4'!A2061</f>
        <v xml:space="preserve">          Капитальный ремонт тепловых сетей г.Закаменск</v>
      </c>
      <c r="B190" s="402"/>
      <c r="C190" s="402"/>
      <c r="D190" s="402"/>
      <c r="E190" s="403" t="s">
        <v>2029</v>
      </c>
      <c r="F190" s="402"/>
      <c r="G190" s="396"/>
      <c r="H190" s="405">
        <f>H191</f>
        <v>0</v>
      </c>
      <c r="I190" s="405">
        <f t="shared" ref="I190:M190" si="54">I191</f>
        <v>0</v>
      </c>
      <c r="J190" s="405">
        <f t="shared" si="54"/>
        <v>70448</v>
      </c>
      <c r="K190" s="405">
        <f t="shared" si="54"/>
        <v>0</v>
      </c>
      <c r="L190" s="405">
        <f t="shared" si="54"/>
        <v>70448</v>
      </c>
      <c r="M190" s="405">
        <f t="shared" si="54"/>
        <v>0</v>
      </c>
    </row>
    <row r="191" spans="1:17" ht="30" x14ac:dyDescent="0.2">
      <c r="A191" s="408" t="s">
        <v>228</v>
      </c>
      <c r="B191" s="402"/>
      <c r="C191" s="402"/>
      <c r="D191" s="402"/>
      <c r="E191" s="403" t="s">
        <v>2029</v>
      </c>
      <c r="F191" s="402"/>
      <c r="G191" s="396">
        <v>961</v>
      </c>
      <c r="H191" s="405">
        <f>'ведом 2024 пр.4'!G2061</f>
        <v>0</v>
      </c>
      <c r="I191" s="405">
        <f>'ведом 2024 пр.4'!H2061</f>
        <v>0</v>
      </c>
      <c r="J191" s="405">
        <f>'ведом 2024 пр.4'!I2061</f>
        <v>70448</v>
      </c>
      <c r="K191" s="405">
        <f>'ведом 2024 пр.4'!J2061</f>
        <v>0</v>
      </c>
      <c r="L191" s="405">
        <f>'ведом 2024 пр.4'!K2061</f>
        <v>70448</v>
      </c>
      <c r="M191" s="405">
        <f>'ведом 2024 пр.4'!L2061</f>
        <v>0</v>
      </c>
    </row>
    <row r="192" spans="1:17" x14ac:dyDescent="0.2">
      <c r="A192" s="406" t="str">
        <f>'ведом 2024 пр.4'!A2064</f>
        <v xml:space="preserve">          Капитальный ремонт водопроводных сетей г.Закаменск</v>
      </c>
      <c r="B192" s="402"/>
      <c r="C192" s="402"/>
      <c r="D192" s="402"/>
      <c r="E192" s="403" t="s">
        <v>2031</v>
      </c>
      <c r="F192" s="402"/>
      <c r="G192" s="396"/>
      <c r="H192" s="405">
        <f>H193</f>
        <v>0</v>
      </c>
      <c r="I192" s="405">
        <f t="shared" ref="I192:M192" si="55">I193</f>
        <v>0</v>
      </c>
      <c r="J192" s="405">
        <f t="shared" si="55"/>
        <v>4969</v>
      </c>
      <c r="K192" s="405">
        <f t="shared" si="55"/>
        <v>0</v>
      </c>
      <c r="L192" s="405">
        <f t="shared" si="55"/>
        <v>4969</v>
      </c>
      <c r="M192" s="405">
        <f t="shared" si="55"/>
        <v>0</v>
      </c>
    </row>
    <row r="193" spans="1:21" ht="30" x14ac:dyDescent="0.2">
      <c r="A193" s="408" t="s">
        <v>228</v>
      </c>
      <c r="B193" s="402"/>
      <c r="C193" s="402"/>
      <c r="D193" s="402"/>
      <c r="E193" s="403" t="s">
        <v>2031</v>
      </c>
      <c r="F193" s="402"/>
      <c r="G193" s="396">
        <v>961</v>
      </c>
      <c r="H193" s="405">
        <f>'ведом 2024 пр.4'!G2064</f>
        <v>0</v>
      </c>
      <c r="I193" s="405">
        <f>'ведом 2024 пр.4'!H2064</f>
        <v>0</v>
      </c>
      <c r="J193" s="405">
        <f>'ведом 2024 пр.4'!I2064</f>
        <v>4969</v>
      </c>
      <c r="K193" s="405">
        <f>'ведом 2024 пр.4'!J2064</f>
        <v>0</v>
      </c>
      <c r="L193" s="405">
        <f>'ведом 2024 пр.4'!K2064</f>
        <v>4969</v>
      </c>
      <c r="M193" s="405">
        <f>'ведом 2024 пр.4'!L2064</f>
        <v>0</v>
      </c>
    </row>
    <row r="194" spans="1:21" ht="28.5" x14ac:dyDescent="0.2">
      <c r="A194" s="562" t="str">
        <f>'ведом 2024 пр.4'!A181</f>
        <v>Муниципальная программа "Регулирование численности волков в муниципальном образовании "Закаменский район" Республики Бурятия на 2021-2025 годы"</v>
      </c>
      <c r="B194" s="394"/>
      <c r="C194" s="394"/>
      <c r="D194" s="394"/>
      <c r="E194" s="559" t="str">
        <f>'ведом 2024 пр.4'!E181</f>
        <v>7Я00000000</v>
      </c>
      <c r="F194" s="394"/>
      <c r="G194" s="561"/>
      <c r="H194" s="560">
        <f>H195</f>
        <v>150</v>
      </c>
      <c r="I194" s="560">
        <f t="shared" ref="I194:K195" si="56">I195</f>
        <v>0</v>
      </c>
      <c r="J194" s="560">
        <f>J195</f>
        <v>275</v>
      </c>
      <c r="K194" s="560">
        <f t="shared" si="56"/>
        <v>0</v>
      </c>
      <c r="L194" s="560">
        <f t="shared" si="48"/>
        <v>125</v>
      </c>
      <c r="M194" s="560">
        <f t="shared" si="49"/>
        <v>0</v>
      </c>
      <c r="N194" s="549">
        <f>H194-'ведом 2024 пр.4'!G2391</f>
        <v>0</v>
      </c>
      <c r="O194" s="549">
        <f>I194-'ведом 2024 пр.4'!H2391</f>
        <v>0</v>
      </c>
      <c r="P194" s="549">
        <f>J194-'ведом 2024 пр.4'!I2391</f>
        <v>0</v>
      </c>
      <c r="Q194" s="549">
        <f>K194-'ведом 2024 пр.4'!J2391</f>
        <v>0</v>
      </c>
    </row>
    <row r="195" spans="1:21" x14ac:dyDescent="0.2">
      <c r="A195" s="406" t="str">
        <f>'ведом 2024 пр.4'!A182</f>
        <v>Основное мероприятие "Материальное стимулирование охотников за добычу волка"</v>
      </c>
      <c r="B195" s="402"/>
      <c r="C195" s="402"/>
      <c r="D195" s="402"/>
      <c r="E195" s="403" t="str">
        <f>'ведом 2024 пр.4'!E182</f>
        <v>7Я00300000</v>
      </c>
      <c r="F195" s="402"/>
      <c r="G195" s="396"/>
      <c r="H195" s="405">
        <f>H196</f>
        <v>150</v>
      </c>
      <c r="I195" s="405">
        <f t="shared" si="56"/>
        <v>0</v>
      </c>
      <c r="J195" s="405">
        <f>J196</f>
        <v>275</v>
      </c>
      <c r="K195" s="405">
        <f t="shared" si="56"/>
        <v>0</v>
      </c>
      <c r="L195" s="405">
        <f t="shared" si="48"/>
        <v>125</v>
      </c>
      <c r="M195" s="405">
        <f t="shared" si="49"/>
        <v>0</v>
      </c>
    </row>
    <row r="196" spans="1:21" ht="30" x14ac:dyDescent="0.2">
      <c r="A196" s="408" t="s">
        <v>973</v>
      </c>
      <c r="B196" s="402"/>
      <c r="C196" s="402"/>
      <c r="D196" s="402"/>
      <c r="E196" s="403" t="str">
        <f>'ведом 2024 пр.4'!E182</f>
        <v>7Я00300000</v>
      </c>
      <c r="F196" s="402"/>
      <c r="G196" s="396">
        <v>922</v>
      </c>
      <c r="H196" s="405">
        <f>'ведом 2024 пр.4'!G182</f>
        <v>150</v>
      </c>
      <c r="I196" s="405">
        <f>'ведом 2024 пр.4'!H182</f>
        <v>0</v>
      </c>
      <c r="J196" s="405">
        <f>'ведом 2024 пр.4'!I182</f>
        <v>275</v>
      </c>
      <c r="K196" s="405">
        <f>'ведом 2024 пр.4'!J182</f>
        <v>0</v>
      </c>
      <c r="L196" s="405">
        <f t="shared" si="48"/>
        <v>125</v>
      </c>
      <c r="M196" s="405">
        <f t="shared" si="49"/>
        <v>0</v>
      </c>
    </row>
    <row r="197" spans="1:21" ht="28.5" x14ac:dyDescent="0.2">
      <c r="A197" s="555" t="str">
        <f>'ведом 2024 пр.4'!A2180</f>
        <v>Муниципальная программа "Экологическая безопасность в муниципальном образовании "Закаменский район""</v>
      </c>
      <c r="B197" s="402"/>
      <c r="C197" s="402"/>
      <c r="D197" s="402"/>
      <c r="E197" s="559">
        <v>8000000000</v>
      </c>
      <c r="F197" s="402"/>
      <c r="G197" s="563"/>
      <c r="H197" s="560">
        <f>H200+H204+H208+H206+H216+H210+H212+H214+H218+H220+H222+H224+H226+H228+H198+H230+H202+H232+H234</f>
        <v>8377.8788199999999</v>
      </c>
      <c r="I197" s="560">
        <f t="shared" ref="I197:M197" si="57">I200+I204+I208+I206+I216+I210+I212+I214+I218+I220+I222+I224+I226+I228+I198+I230+I202+I232+I234</f>
        <v>0</v>
      </c>
      <c r="J197" s="560">
        <f t="shared" si="57"/>
        <v>8447.3788199999999</v>
      </c>
      <c r="K197" s="560">
        <f t="shared" si="57"/>
        <v>0</v>
      </c>
      <c r="L197" s="560">
        <f t="shared" si="57"/>
        <v>69.500000000000114</v>
      </c>
      <c r="M197" s="560">
        <f t="shared" si="57"/>
        <v>0</v>
      </c>
      <c r="N197" s="549">
        <f>H197-'ведом 2024 пр.4'!G2393</f>
        <v>0</v>
      </c>
      <c r="O197" s="549">
        <f>I197-'ведом 2024 пр.4'!H2393</f>
        <v>0</v>
      </c>
      <c r="P197" s="549">
        <f>J197-'ведом 2024 пр.4'!I2393</f>
        <v>0</v>
      </c>
      <c r="Q197" s="549">
        <f>K197-'ведом 2024 пр.4'!J2393</f>
        <v>0</v>
      </c>
      <c r="R197" s="39"/>
      <c r="S197" s="39"/>
      <c r="T197" s="39"/>
      <c r="U197" s="39"/>
    </row>
    <row r="198" spans="1:21" ht="30" x14ac:dyDescent="0.2">
      <c r="A198" s="406" t="str">
        <f>'ведом 2024 пр.4'!A2139</f>
        <v>Основное мероприятие "Разработка проектной документации и строительство полигона твердых бытовых отходов в г.Закаменск Закаменского района"</v>
      </c>
      <c r="B198" s="402"/>
      <c r="C198" s="402"/>
      <c r="D198" s="402"/>
      <c r="E198" s="403">
        <v>8000100000</v>
      </c>
      <c r="F198" s="402"/>
      <c r="G198" s="396"/>
      <c r="H198" s="405">
        <f t="shared" ref="H198:M198" si="58">H199</f>
        <v>1315.62</v>
      </c>
      <c r="I198" s="405">
        <f t="shared" si="58"/>
        <v>0</v>
      </c>
      <c r="J198" s="405">
        <f t="shared" si="58"/>
        <v>1315.62</v>
      </c>
      <c r="K198" s="405">
        <f t="shared" si="58"/>
        <v>0</v>
      </c>
      <c r="L198" s="405">
        <f t="shared" si="58"/>
        <v>0</v>
      </c>
      <c r="M198" s="405">
        <f t="shared" si="58"/>
        <v>0</v>
      </c>
      <c r="N198" s="549"/>
      <c r="O198" s="549"/>
      <c r="P198" s="549"/>
      <c r="Q198" s="549"/>
      <c r="R198" s="39"/>
      <c r="S198" s="39"/>
      <c r="T198" s="39"/>
      <c r="U198" s="39"/>
    </row>
    <row r="199" spans="1:21" ht="30" x14ac:dyDescent="0.2">
      <c r="A199" s="408" t="s">
        <v>228</v>
      </c>
      <c r="B199" s="402"/>
      <c r="C199" s="402"/>
      <c r="D199" s="402"/>
      <c r="E199" s="403">
        <v>8000100000</v>
      </c>
      <c r="F199" s="402"/>
      <c r="G199" s="396">
        <v>961</v>
      </c>
      <c r="H199" s="405">
        <f>'ведом 2024 пр.4'!G2140</f>
        <v>1315.62</v>
      </c>
      <c r="I199" s="405">
        <f>'ведом 2024 пр.4'!H2140</f>
        <v>0</v>
      </c>
      <c r="J199" s="405">
        <f>'ведом 2024 пр.4'!I2140</f>
        <v>1315.62</v>
      </c>
      <c r="K199" s="405">
        <f>'ведом 2024 пр.4'!J2140</f>
        <v>0</v>
      </c>
      <c r="L199" s="405">
        <f>'ведом 2024 пр.4'!K2140</f>
        <v>0</v>
      </c>
      <c r="M199" s="405">
        <f>'ведом 2024 пр.4'!L2140</f>
        <v>0</v>
      </c>
      <c r="N199" s="549"/>
      <c r="O199" s="549"/>
      <c r="P199" s="549"/>
      <c r="Q199" s="549"/>
      <c r="R199" s="39"/>
      <c r="S199" s="39"/>
      <c r="T199" s="39"/>
      <c r="U199" s="39"/>
    </row>
    <row r="200" spans="1:21" ht="20.25" hidden="1" customHeight="1" x14ac:dyDescent="0.2">
      <c r="A200" s="406" t="str">
        <f>'ведом 2024 пр.4'!A2142</f>
        <v>Основное мероприятие "Утилизация отработанных ртутьсодержащих ламп"</v>
      </c>
      <c r="B200" s="402"/>
      <c r="C200" s="402"/>
      <c r="D200" s="402"/>
      <c r="E200" s="403">
        <v>8000200000</v>
      </c>
      <c r="F200" s="402"/>
      <c r="G200" s="396"/>
      <c r="H200" s="405">
        <f t="shared" ref="H200:M200" si="59">H201</f>
        <v>0</v>
      </c>
      <c r="I200" s="405">
        <f t="shared" si="59"/>
        <v>0</v>
      </c>
      <c r="J200" s="405">
        <f t="shared" si="59"/>
        <v>0</v>
      </c>
      <c r="K200" s="405">
        <f t="shared" si="59"/>
        <v>0</v>
      </c>
      <c r="L200" s="405">
        <f t="shared" si="59"/>
        <v>0</v>
      </c>
      <c r="M200" s="405">
        <f t="shared" si="59"/>
        <v>0</v>
      </c>
    </row>
    <row r="201" spans="1:21" ht="31.5" hidden="1" customHeight="1" x14ac:dyDescent="0.2">
      <c r="A201" s="408" t="s">
        <v>228</v>
      </c>
      <c r="B201" s="402"/>
      <c r="C201" s="402"/>
      <c r="D201" s="402"/>
      <c r="E201" s="403">
        <v>8000200000</v>
      </c>
      <c r="F201" s="402"/>
      <c r="G201" s="396">
        <v>961</v>
      </c>
      <c r="H201" s="405">
        <f>'ведом 2024 пр.4'!G2142</f>
        <v>0</v>
      </c>
      <c r="I201" s="405">
        <f>'ведом 2024 пр.4'!H2142</f>
        <v>0</v>
      </c>
      <c r="J201" s="405">
        <f>'ведом 2024 пр.4'!I2142</f>
        <v>0</v>
      </c>
      <c r="K201" s="405">
        <f>'ведом 2024 пр.4'!J2142</f>
        <v>0</v>
      </c>
      <c r="L201" s="405">
        <f>'ведом 2024 пр.4'!K2142</f>
        <v>0</v>
      </c>
      <c r="M201" s="405">
        <f>'ведом 2024 пр.4'!L2142</f>
        <v>0</v>
      </c>
    </row>
    <row r="202" spans="1:21" ht="31.5" customHeight="1" x14ac:dyDescent="0.2">
      <c r="A202" s="406" t="str">
        <f>'ведом 2024 пр.4'!A2145</f>
        <v>Основное мероприятие "Ликвидация несанкционированных свалок"</v>
      </c>
      <c r="B202" s="402"/>
      <c r="C202" s="402"/>
      <c r="D202" s="402"/>
      <c r="E202" s="403">
        <v>8000300000</v>
      </c>
      <c r="F202" s="402"/>
      <c r="G202" s="396"/>
      <c r="H202" s="405">
        <f t="shared" ref="H202:M202" si="60">H203</f>
        <v>1091.0999999999999</v>
      </c>
      <c r="I202" s="405">
        <f t="shared" si="60"/>
        <v>0</v>
      </c>
      <c r="J202" s="405">
        <f t="shared" si="60"/>
        <v>551.1</v>
      </c>
      <c r="K202" s="405">
        <f t="shared" si="60"/>
        <v>0</v>
      </c>
      <c r="L202" s="405">
        <f t="shared" si="60"/>
        <v>-539.99999999999989</v>
      </c>
      <c r="M202" s="405">
        <f t="shared" si="60"/>
        <v>0</v>
      </c>
    </row>
    <row r="203" spans="1:21" ht="31.5" customHeight="1" x14ac:dyDescent="0.2">
      <c r="A203" s="408" t="s">
        <v>228</v>
      </c>
      <c r="B203" s="402"/>
      <c r="C203" s="402"/>
      <c r="D203" s="402"/>
      <c r="E203" s="403">
        <v>8000300000</v>
      </c>
      <c r="F203" s="402"/>
      <c r="G203" s="396">
        <v>961</v>
      </c>
      <c r="H203" s="405">
        <f>'ведом 2024 пр.4'!G2145</f>
        <v>1091.0999999999999</v>
      </c>
      <c r="I203" s="405">
        <f>'ведом 2024 пр.4'!H2145</f>
        <v>0</v>
      </c>
      <c r="J203" s="405">
        <f>'ведом 2024 пр.4'!I2145</f>
        <v>551.1</v>
      </c>
      <c r="K203" s="405">
        <f>'ведом 2024 пр.4'!J2145</f>
        <v>0</v>
      </c>
      <c r="L203" s="405">
        <f>'ведом 2024 пр.4'!K2145</f>
        <v>-539.99999999999989</v>
      </c>
      <c r="M203" s="405">
        <f>'ведом 2024 пр.4'!L2145</f>
        <v>0</v>
      </c>
    </row>
    <row r="204" spans="1:21" x14ac:dyDescent="0.2">
      <c r="A204" s="408" t="str">
        <f>'ведом 2024 пр.4'!A2184</f>
        <v>Основное мероприятие "Содержание объекта размещения ТКО"</v>
      </c>
      <c r="B204" s="402"/>
      <c r="C204" s="402"/>
      <c r="D204" s="402"/>
      <c r="E204" s="403">
        <v>8000600000</v>
      </c>
      <c r="F204" s="402"/>
      <c r="G204" s="396"/>
      <c r="H204" s="405">
        <f t="shared" ref="H204:M204" si="61">H205</f>
        <v>1780.17</v>
      </c>
      <c r="I204" s="405">
        <f t="shared" si="61"/>
        <v>0</v>
      </c>
      <c r="J204" s="405">
        <f t="shared" si="61"/>
        <v>1780.17</v>
      </c>
      <c r="K204" s="405">
        <f t="shared" si="61"/>
        <v>0</v>
      </c>
      <c r="L204" s="405">
        <f t="shared" si="61"/>
        <v>0</v>
      </c>
      <c r="M204" s="405">
        <f t="shared" si="61"/>
        <v>0</v>
      </c>
    </row>
    <row r="205" spans="1:21" ht="30" x14ac:dyDescent="0.2">
      <c r="A205" s="408" t="s">
        <v>228</v>
      </c>
      <c r="B205" s="402"/>
      <c r="C205" s="402"/>
      <c r="D205" s="402"/>
      <c r="E205" s="403">
        <v>8000600000</v>
      </c>
      <c r="F205" s="402"/>
      <c r="G205" s="396">
        <v>961</v>
      </c>
      <c r="H205" s="405">
        <f>'ведом 2024 пр.4'!G2148</f>
        <v>1780.17</v>
      </c>
      <c r="I205" s="405">
        <f>'ведом 2024 пр.4'!H2148</f>
        <v>0</v>
      </c>
      <c r="J205" s="405">
        <f>'ведом 2024 пр.4'!I2148</f>
        <v>1780.17</v>
      </c>
      <c r="K205" s="405">
        <f>'ведом 2024 пр.4'!J2148</f>
        <v>0</v>
      </c>
      <c r="L205" s="405">
        <f>'ведом 2024 пр.4'!K2148</f>
        <v>0</v>
      </c>
      <c r="M205" s="405">
        <f>'ведом 2024 пр.4'!L2148</f>
        <v>0</v>
      </c>
    </row>
    <row r="206" spans="1:21" ht="33" hidden="1" customHeight="1" x14ac:dyDescent="0.2">
      <c r="A206" s="406" t="str">
        <f>'ведом 2024 пр.4'!A2151</f>
        <v>Основное мероприятие "Расходы на обеспечение пожарной безопасности и охраны окружающей среды"</v>
      </c>
      <c r="B206" s="402"/>
      <c r="C206" s="402"/>
      <c r="D206" s="402"/>
      <c r="E206" s="403">
        <f>E207</f>
        <v>8000900000</v>
      </c>
      <c r="F206" s="402"/>
      <c r="G206" s="396"/>
      <c r="H206" s="405">
        <f t="shared" ref="H206:M206" si="62">H207</f>
        <v>0</v>
      </c>
      <c r="I206" s="405">
        <f t="shared" si="62"/>
        <v>0</v>
      </c>
      <c r="J206" s="405">
        <f t="shared" si="62"/>
        <v>0</v>
      </c>
      <c r="K206" s="405">
        <f t="shared" si="62"/>
        <v>0</v>
      </c>
      <c r="L206" s="405">
        <f t="shared" si="62"/>
        <v>0</v>
      </c>
      <c r="M206" s="405">
        <f t="shared" si="62"/>
        <v>0</v>
      </c>
    </row>
    <row r="207" spans="1:21" ht="33" hidden="1" customHeight="1" x14ac:dyDescent="0.2">
      <c r="A207" s="408" t="s">
        <v>228</v>
      </c>
      <c r="B207" s="402"/>
      <c r="C207" s="402"/>
      <c r="D207" s="402"/>
      <c r="E207" s="403">
        <f>'ведом 2024 пр.4'!E2151</f>
        <v>8000900000</v>
      </c>
      <c r="F207" s="402"/>
      <c r="G207" s="396">
        <v>961</v>
      </c>
      <c r="H207" s="405">
        <f>'ведом 2024 пр.4'!G2151</f>
        <v>0</v>
      </c>
      <c r="I207" s="405">
        <f>'ведом 2024 пр.4'!H2151</f>
        <v>0</v>
      </c>
      <c r="J207" s="405">
        <f>'ведом 2024 пр.4'!I2151</f>
        <v>0</v>
      </c>
      <c r="K207" s="405">
        <f>'ведом 2024 пр.4'!J2151</f>
        <v>0</v>
      </c>
      <c r="L207" s="405">
        <f>'ведом 2024 пр.4'!K2151</f>
        <v>0</v>
      </c>
      <c r="M207" s="405">
        <f>'ведом 2024 пр.4'!L2151</f>
        <v>0</v>
      </c>
    </row>
    <row r="208" spans="1:21" ht="33" hidden="1" customHeight="1" x14ac:dyDescent="0.2">
      <c r="A208" s="406" t="str">
        <f>'ведом 2024 пр.4'!A2187</f>
        <v>Основное мероприятие "Строительство очистных сооружений в г. Закаменск"</v>
      </c>
      <c r="B208" s="402"/>
      <c r="C208" s="402"/>
      <c r="D208" s="402"/>
      <c r="E208" s="403">
        <f>E209</f>
        <v>8001000000</v>
      </c>
      <c r="F208" s="402"/>
      <c r="G208" s="396"/>
      <c r="H208" s="405">
        <f t="shared" ref="H208:M208" si="63">H209</f>
        <v>0</v>
      </c>
      <c r="I208" s="405">
        <f t="shared" si="63"/>
        <v>0</v>
      </c>
      <c r="J208" s="405">
        <f t="shared" si="63"/>
        <v>0</v>
      </c>
      <c r="K208" s="405">
        <f t="shared" si="63"/>
        <v>0</v>
      </c>
      <c r="L208" s="405">
        <f t="shared" si="63"/>
        <v>0</v>
      </c>
      <c r="M208" s="405">
        <f t="shared" si="63"/>
        <v>0</v>
      </c>
    </row>
    <row r="209" spans="1:13" ht="33" hidden="1" customHeight="1" x14ac:dyDescent="0.2">
      <c r="A209" s="408" t="s">
        <v>228</v>
      </c>
      <c r="B209" s="402"/>
      <c r="C209" s="402"/>
      <c r="D209" s="402"/>
      <c r="E209" s="403">
        <f>'ведом 2024 пр.4'!E2187</f>
        <v>8001000000</v>
      </c>
      <c r="F209" s="402"/>
      <c r="G209" s="396">
        <v>961</v>
      </c>
      <c r="H209" s="405">
        <f>'ведом 2024 пр.4'!G2187+'ведом 2024 пр.4'!G2068</f>
        <v>0</v>
      </c>
      <c r="I209" s="405">
        <f>'ведом 2024 пр.4'!H2187+'ведом 2024 пр.4'!H2068</f>
        <v>0</v>
      </c>
      <c r="J209" s="405">
        <f>'ведом 2024 пр.4'!I2187+'ведом 2024 пр.4'!I2068</f>
        <v>0</v>
      </c>
      <c r="K209" s="405">
        <f>'ведом 2024 пр.4'!J2187+'ведом 2024 пр.4'!J2068</f>
        <v>0</v>
      </c>
      <c r="L209" s="405">
        <f>'ведом 2024 пр.4'!K2187+'ведом 2024 пр.4'!K2068</f>
        <v>0</v>
      </c>
      <c r="M209" s="405">
        <f>'ведом 2024 пр.4'!L2187+'ведом 2024 пр.4'!L2068</f>
        <v>0</v>
      </c>
    </row>
    <row r="210" spans="1:13" ht="33" hidden="1" customHeight="1" x14ac:dyDescent="0.2">
      <c r="A210" s="406" t="str">
        <f>'ведом 2024 пр.4'!A1822</f>
        <v>Основное мероприятие "Аварийно-восстановительные работы русла р.Хуртагинка"</v>
      </c>
      <c r="B210" s="402"/>
      <c r="C210" s="402"/>
      <c r="D210" s="402"/>
      <c r="E210" s="403">
        <v>8001100000</v>
      </c>
      <c r="F210" s="402"/>
      <c r="G210" s="396"/>
      <c r="H210" s="405">
        <f t="shared" ref="H210:M210" si="64">H211</f>
        <v>0</v>
      </c>
      <c r="I210" s="405">
        <f t="shared" si="64"/>
        <v>0</v>
      </c>
      <c r="J210" s="405">
        <f t="shared" si="64"/>
        <v>0</v>
      </c>
      <c r="K210" s="405">
        <f t="shared" si="64"/>
        <v>0</v>
      </c>
      <c r="L210" s="405">
        <f t="shared" si="64"/>
        <v>0</v>
      </c>
      <c r="M210" s="405">
        <f t="shared" si="64"/>
        <v>0</v>
      </c>
    </row>
    <row r="211" spans="1:13" ht="33" hidden="1" customHeight="1" x14ac:dyDescent="0.2">
      <c r="A211" s="408" t="s">
        <v>228</v>
      </c>
      <c r="B211" s="402"/>
      <c r="C211" s="402"/>
      <c r="D211" s="402"/>
      <c r="E211" s="403">
        <v>8001100000</v>
      </c>
      <c r="F211" s="402"/>
      <c r="G211" s="396">
        <v>961</v>
      </c>
      <c r="H211" s="405">
        <f>'ведом 2024 пр.4'!G1822</f>
        <v>0</v>
      </c>
      <c r="I211" s="405">
        <f>'ведом 2024 пр.4'!H1822</f>
        <v>0</v>
      </c>
      <c r="J211" s="405">
        <f>'ведом 2024 пр.4'!I1822</f>
        <v>0</v>
      </c>
      <c r="K211" s="405">
        <f>'ведом 2024 пр.4'!J1822</f>
        <v>0</v>
      </c>
      <c r="L211" s="405">
        <f>'ведом 2024 пр.4'!K1822</f>
        <v>0</v>
      </c>
      <c r="M211" s="405">
        <f>'ведом 2024 пр.4'!L1822</f>
        <v>0</v>
      </c>
    </row>
    <row r="212" spans="1:13" hidden="1" x14ac:dyDescent="0.2">
      <c r="A212" s="406" t="str">
        <f>'ведом 2024 пр.4'!A1825</f>
        <v>Основное мероприятие "Капитальный ремонт защитной дамбы обвалования на р.Модонкуль Закаменского района"</v>
      </c>
      <c r="B212" s="402"/>
      <c r="C212" s="402"/>
      <c r="D212" s="402"/>
      <c r="E212" s="403">
        <v>8001200000</v>
      </c>
      <c r="F212" s="402"/>
      <c r="G212" s="396"/>
      <c r="H212" s="405">
        <f t="shared" ref="H212:M212" si="65">H213</f>
        <v>0</v>
      </c>
      <c r="I212" s="405">
        <f t="shared" si="65"/>
        <v>0</v>
      </c>
      <c r="J212" s="405">
        <f t="shared" si="65"/>
        <v>0</v>
      </c>
      <c r="K212" s="405">
        <f t="shared" si="65"/>
        <v>0</v>
      </c>
      <c r="L212" s="405">
        <f t="shared" si="65"/>
        <v>0</v>
      </c>
      <c r="M212" s="405">
        <f t="shared" si="65"/>
        <v>0</v>
      </c>
    </row>
    <row r="213" spans="1:13" ht="30" hidden="1" x14ac:dyDescent="0.2">
      <c r="A213" s="408" t="s">
        <v>228</v>
      </c>
      <c r="B213" s="402"/>
      <c r="C213" s="402"/>
      <c r="D213" s="402"/>
      <c r="E213" s="403">
        <v>8001200000</v>
      </c>
      <c r="F213" s="402"/>
      <c r="G213" s="396">
        <v>961</v>
      </c>
      <c r="H213" s="405">
        <f>'ведом 2024 пр.4'!G1825</f>
        <v>0</v>
      </c>
      <c r="I213" s="405">
        <f>'ведом 2024 пр.4'!H1825</f>
        <v>0</v>
      </c>
      <c r="J213" s="405">
        <f>'ведом 2024 пр.4'!I1825</f>
        <v>0</v>
      </c>
      <c r="K213" s="405">
        <f>'ведом 2024 пр.4'!J1825</f>
        <v>0</v>
      </c>
      <c r="L213" s="405">
        <f>'ведом 2024 пр.4'!K1825</f>
        <v>0</v>
      </c>
      <c r="M213" s="405">
        <f>'ведом 2024 пр.4'!L1825</f>
        <v>0</v>
      </c>
    </row>
    <row r="214" spans="1:13" ht="30" x14ac:dyDescent="0.2">
      <c r="A214" s="406" t="str">
        <f>'ведом 2024 пр.4'!A1828</f>
        <v>Основное мероприятие "Капитальный ремонт защитной дамбы обвалования на р.Цакирка у.Санага Закаменского района"</v>
      </c>
      <c r="B214" s="402"/>
      <c r="C214" s="402"/>
      <c r="D214" s="402"/>
      <c r="E214" s="403">
        <v>8001300000</v>
      </c>
      <c r="F214" s="402"/>
      <c r="G214" s="396"/>
      <c r="H214" s="405">
        <f t="shared" ref="H214:M214" si="66">H215</f>
        <v>2633.9588199999998</v>
      </c>
      <c r="I214" s="405">
        <f t="shared" si="66"/>
        <v>0</v>
      </c>
      <c r="J214" s="405">
        <f t="shared" si="66"/>
        <v>2633.9588199999998</v>
      </c>
      <c r="K214" s="405">
        <f t="shared" si="66"/>
        <v>0</v>
      </c>
      <c r="L214" s="405">
        <f t="shared" si="66"/>
        <v>0</v>
      </c>
      <c r="M214" s="405">
        <f t="shared" si="66"/>
        <v>0</v>
      </c>
    </row>
    <row r="215" spans="1:13" ht="30" x14ac:dyDescent="0.2">
      <c r="A215" s="408" t="s">
        <v>228</v>
      </c>
      <c r="B215" s="402"/>
      <c r="C215" s="402"/>
      <c r="D215" s="402"/>
      <c r="E215" s="403">
        <v>8001300000</v>
      </c>
      <c r="F215" s="402"/>
      <c r="G215" s="396">
        <v>961</v>
      </c>
      <c r="H215" s="405">
        <f>'ведом 2024 пр.4'!G1828</f>
        <v>2633.9588199999998</v>
      </c>
      <c r="I215" s="405">
        <f>'ведом 2024 пр.4'!H1828</f>
        <v>0</v>
      </c>
      <c r="J215" s="405">
        <f>'ведом 2024 пр.4'!I1828</f>
        <v>2633.9588199999998</v>
      </c>
      <c r="K215" s="405">
        <f>'ведом 2024 пр.4'!J1828</f>
        <v>0</v>
      </c>
      <c r="L215" s="405">
        <f>'ведом 2024 пр.4'!K1828</f>
        <v>0</v>
      </c>
      <c r="M215" s="405">
        <f>'ведом 2024 пр.4'!L1828</f>
        <v>0</v>
      </c>
    </row>
    <row r="216" spans="1:13" ht="33" hidden="1" customHeight="1" x14ac:dyDescent="0.2">
      <c r="A216" s="406" t="str">
        <f>'ведом 2024 пр.4'!A2154</f>
        <v xml:space="preserve">          Основное мероприятие "Буртовка твердых бытовых отходов"</v>
      </c>
      <c r="B216" s="402"/>
      <c r="C216" s="402"/>
      <c r="D216" s="402"/>
      <c r="E216" s="403">
        <v>8001400000</v>
      </c>
      <c r="F216" s="402"/>
      <c r="G216" s="396"/>
      <c r="H216" s="405">
        <f t="shared" ref="H216:M216" si="67">H217</f>
        <v>0</v>
      </c>
      <c r="I216" s="405">
        <f t="shared" si="67"/>
        <v>0</v>
      </c>
      <c r="J216" s="405">
        <f t="shared" si="67"/>
        <v>0</v>
      </c>
      <c r="K216" s="405">
        <f t="shared" si="67"/>
        <v>0</v>
      </c>
      <c r="L216" s="405">
        <f t="shared" si="67"/>
        <v>0</v>
      </c>
      <c r="M216" s="405">
        <f t="shared" si="67"/>
        <v>0</v>
      </c>
    </row>
    <row r="217" spans="1:13" ht="33" hidden="1" customHeight="1" x14ac:dyDescent="0.2">
      <c r="A217" s="408" t="s">
        <v>228</v>
      </c>
      <c r="B217" s="402"/>
      <c r="C217" s="402"/>
      <c r="D217" s="402"/>
      <c r="E217" s="403">
        <v>8001400000</v>
      </c>
      <c r="F217" s="402"/>
      <c r="G217" s="396">
        <v>961</v>
      </c>
      <c r="H217" s="405">
        <f>'ведом 2024 пр.4'!G2154</f>
        <v>0</v>
      </c>
      <c r="I217" s="405">
        <f>'ведом 2024 пр.4'!H2154</f>
        <v>0</v>
      </c>
      <c r="J217" s="405">
        <f>'ведом 2024 пр.4'!I2154</f>
        <v>0</v>
      </c>
      <c r="K217" s="405">
        <f>'ведом 2024 пр.4'!J2154</f>
        <v>0</v>
      </c>
      <c r="L217" s="405">
        <f>'ведом 2024 пр.4'!K2154</f>
        <v>0</v>
      </c>
      <c r="M217" s="405">
        <f>'ведом 2024 пр.4'!L2154</f>
        <v>0</v>
      </c>
    </row>
    <row r="218" spans="1:13" ht="30" hidden="1" x14ac:dyDescent="0.2">
      <c r="A218" s="406" t="str">
        <f>'ведом 2024 пр.4'!A1831</f>
        <v>Основное мероприятие "Частичное восстановление защитных сооружений на р.Оронгодой с.Утата Закаменского района"</v>
      </c>
      <c r="B218" s="402"/>
      <c r="C218" s="402"/>
      <c r="D218" s="402"/>
      <c r="E218" s="403">
        <v>8001500000</v>
      </c>
      <c r="F218" s="402"/>
      <c r="G218" s="396"/>
      <c r="H218" s="405">
        <f t="shared" ref="H218:M218" si="68">H219</f>
        <v>165.89</v>
      </c>
      <c r="I218" s="405">
        <f t="shared" si="68"/>
        <v>0</v>
      </c>
      <c r="J218" s="405">
        <f t="shared" si="68"/>
        <v>0</v>
      </c>
      <c r="K218" s="405">
        <f t="shared" si="68"/>
        <v>0</v>
      </c>
      <c r="L218" s="405">
        <f t="shared" si="68"/>
        <v>-165.89</v>
      </c>
      <c r="M218" s="405">
        <f t="shared" si="68"/>
        <v>0</v>
      </c>
    </row>
    <row r="219" spans="1:13" ht="30" hidden="1" x14ac:dyDescent="0.2">
      <c r="A219" s="408" t="s">
        <v>228</v>
      </c>
      <c r="B219" s="402"/>
      <c r="C219" s="402"/>
      <c r="D219" s="402"/>
      <c r="E219" s="403">
        <v>8001500000</v>
      </c>
      <c r="F219" s="402"/>
      <c r="G219" s="396">
        <v>961</v>
      </c>
      <c r="H219" s="405">
        <f>'ведом 2024 пр.4'!G1831</f>
        <v>165.89</v>
      </c>
      <c r="I219" s="405">
        <f>'ведом 2024 пр.4'!H1831</f>
        <v>0</v>
      </c>
      <c r="J219" s="405">
        <f>'ведом 2024 пр.4'!I1831</f>
        <v>0</v>
      </c>
      <c r="K219" s="405">
        <f>'ведом 2024 пр.4'!J1831</f>
        <v>0</v>
      </c>
      <c r="L219" s="405">
        <f>'ведом 2024 пр.4'!K1831</f>
        <v>-165.89</v>
      </c>
      <c r="M219" s="405">
        <f>'ведом 2024 пр.4'!L1831</f>
        <v>0</v>
      </c>
    </row>
    <row r="220" spans="1:13" hidden="1" x14ac:dyDescent="0.2">
      <c r="A220" s="406" t="str">
        <f>'ведом 2024 пр.4'!A1834</f>
        <v>Основное мероприятие "Устройство временных дамб обвалования на р.Хуртагинка с.Хуртага Закаменского района"</v>
      </c>
      <c r="B220" s="402"/>
      <c r="C220" s="402"/>
      <c r="D220" s="402"/>
      <c r="E220" s="403">
        <v>8001600000</v>
      </c>
      <c r="F220" s="402"/>
      <c r="G220" s="396"/>
      <c r="H220" s="405">
        <f t="shared" ref="H220:M220" si="69">H221</f>
        <v>0</v>
      </c>
      <c r="I220" s="405">
        <f t="shared" si="69"/>
        <v>0</v>
      </c>
      <c r="J220" s="405">
        <f t="shared" si="69"/>
        <v>0</v>
      </c>
      <c r="K220" s="405">
        <f t="shared" si="69"/>
        <v>0</v>
      </c>
      <c r="L220" s="405">
        <f t="shared" si="69"/>
        <v>0</v>
      </c>
      <c r="M220" s="405">
        <f t="shared" si="69"/>
        <v>0</v>
      </c>
    </row>
    <row r="221" spans="1:13" ht="30" hidden="1" x14ac:dyDescent="0.2">
      <c r="A221" s="408" t="s">
        <v>228</v>
      </c>
      <c r="B221" s="402"/>
      <c r="C221" s="402"/>
      <c r="D221" s="402"/>
      <c r="E221" s="403">
        <v>8001600000</v>
      </c>
      <c r="F221" s="402"/>
      <c r="G221" s="396">
        <v>961</v>
      </c>
      <c r="H221" s="405">
        <f>'ведом 2024 пр.4'!G1834</f>
        <v>0</v>
      </c>
      <c r="I221" s="405">
        <f>'ведом 2024 пр.4'!H1834</f>
        <v>0</v>
      </c>
      <c r="J221" s="405">
        <f>'ведом 2024 пр.4'!I1834</f>
        <v>0</v>
      </c>
      <c r="K221" s="405">
        <f>'ведом 2024 пр.4'!J1834</f>
        <v>0</v>
      </c>
      <c r="L221" s="405">
        <f>'ведом 2024 пр.4'!K1834</f>
        <v>0</v>
      </c>
      <c r="M221" s="405">
        <f>'ведом 2024 пр.4'!L1834</f>
        <v>0</v>
      </c>
    </row>
    <row r="222" spans="1:13" x14ac:dyDescent="0.2">
      <c r="A222" s="406" t="str">
        <f>'ведом 2024 пр.4'!A1837</f>
        <v>Основное мероприятие "Частичное восстановление береговой полосы на р.Джида г.Закаменск Закаменского района"</v>
      </c>
      <c r="B222" s="402"/>
      <c r="C222" s="402"/>
      <c r="D222" s="402"/>
      <c r="E222" s="403">
        <v>8001700000</v>
      </c>
      <c r="F222" s="402"/>
      <c r="G222" s="396"/>
      <c r="H222" s="405">
        <f t="shared" ref="H222:M222" si="70">H223</f>
        <v>617.98</v>
      </c>
      <c r="I222" s="405">
        <f t="shared" si="70"/>
        <v>0</v>
      </c>
      <c r="J222" s="405">
        <f t="shared" si="70"/>
        <v>617.98</v>
      </c>
      <c r="K222" s="405">
        <f t="shared" si="70"/>
        <v>0</v>
      </c>
      <c r="L222" s="405">
        <f t="shared" si="70"/>
        <v>0</v>
      </c>
      <c r="M222" s="405">
        <f t="shared" si="70"/>
        <v>0</v>
      </c>
    </row>
    <row r="223" spans="1:13" ht="30" x14ac:dyDescent="0.2">
      <c r="A223" s="408" t="s">
        <v>228</v>
      </c>
      <c r="B223" s="402"/>
      <c r="C223" s="402"/>
      <c r="D223" s="402"/>
      <c r="E223" s="403">
        <v>8001700000</v>
      </c>
      <c r="F223" s="402"/>
      <c r="G223" s="396">
        <v>961</v>
      </c>
      <c r="H223" s="405">
        <f>'ведом 2024 пр.4'!G1837</f>
        <v>617.98</v>
      </c>
      <c r="I223" s="405">
        <f>'ведом 2024 пр.4'!H1837</f>
        <v>0</v>
      </c>
      <c r="J223" s="405">
        <f>'ведом 2024 пр.4'!I1837</f>
        <v>617.98</v>
      </c>
      <c r="K223" s="405">
        <f>'ведом 2024 пр.4'!J1837</f>
        <v>0</v>
      </c>
      <c r="L223" s="405">
        <f>'ведом 2024 пр.4'!K1837</f>
        <v>0</v>
      </c>
      <c r="M223" s="405">
        <f>'ведом 2024 пр.4'!L1837</f>
        <v>0</v>
      </c>
    </row>
    <row r="224" spans="1:13" hidden="1" x14ac:dyDescent="0.2">
      <c r="A224" s="406" t="str">
        <f>'ведом 2024 пр.4'!A1840</f>
        <v>Основное мероприятие "Устройство временных дамб обвалования руч.Инкур г.Закаменск Закаменского района"</v>
      </c>
      <c r="B224" s="402"/>
      <c r="C224" s="402"/>
      <c r="D224" s="402"/>
      <c r="E224" s="403">
        <v>8001800000</v>
      </c>
      <c r="F224" s="402"/>
      <c r="G224" s="396"/>
      <c r="H224" s="405">
        <f t="shared" ref="H224:M224" si="71">H225</f>
        <v>0</v>
      </c>
      <c r="I224" s="405">
        <f t="shared" si="71"/>
        <v>0</v>
      </c>
      <c r="J224" s="405">
        <f t="shared" si="71"/>
        <v>0</v>
      </c>
      <c r="K224" s="405">
        <f t="shared" si="71"/>
        <v>0</v>
      </c>
      <c r="L224" s="405">
        <f t="shared" si="71"/>
        <v>0</v>
      </c>
      <c r="M224" s="405">
        <f t="shared" si="71"/>
        <v>0</v>
      </c>
    </row>
    <row r="225" spans="1:20" ht="30" hidden="1" x14ac:dyDescent="0.2">
      <c r="A225" s="408" t="s">
        <v>228</v>
      </c>
      <c r="B225" s="402"/>
      <c r="C225" s="402"/>
      <c r="D225" s="402"/>
      <c r="E225" s="403">
        <v>8001800000</v>
      </c>
      <c r="F225" s="402"/>
      <c r="G225" s="396">
        <v>961</v>
      </c>
      <c r="H225" s="405">
        <f>'ведом 2024 пр.4'!G1840</f>
        <v>0</v>
      </c>
      <c r="I225" s="405">
        <f>'ведом 2024 пр.4'!H1840</f>
        <v>0</v>
      </c>
      <c r="J225" s="405">
        <f>'ведом 2024 пр.4'!I1840</f>
        <v>0</v>
      </c>
      <c r="K225" s="405">
        <f>'ведом 2024 пр.4'!J1840</f>
        <v>0</v>
      </c>
      <c r="L225" s="405">
        <f>'ведом 2024 пр.4'!K1840</f>
        <v>0</v>
      </c>
      <c r="M225" s="405">
        <f>'ведом 2024 пр.4'!L1840</f>
        <v>0</v>
      </c>
    </row>
    <row r="226" spans="1:20" hidden="1" x14ac:dyDescent="0.2">
      <c r="A226" s="406" t="str">
        <f>'ведом 2024 пр.4'!A1844</f>
        <v>Основное мероприятие "Устройство временных дамб обвалования на р.Модонкуль с.Холтосон Закаменского района"</v>
      </c>
      <c r="B226" s="402"/>
      <c r="C226" s="402"/>
      <c r="D226" s="402"/>
      <c r="E226" s="403">
        <v>8001900000</v>
      </c>
      <c r="F226" s="402"/>
      <c r="G226" s="396"/>
      <c r="H226" s="405">
        <f t="shared" ref="H226:M226" si="72">H227</f>
        <v>0</v>
      </c>
      <c r="I226" s="405">
        <f t="shared" si="72"/>
        <v>0</v>
      </c>
      <c r="J226" s="405">
        <f t="shared" si="72"/>
        <v>0</v>
      </c>
      <c r="K226" s="405">
        <f t="shared" si="72"/>
        <v>0</v>
      </c>
      <c r="L226" s="405">
        <f t="shared" si="72"/>
        <v>0</v>
      </c>
      <c r="M226" s="405">
        <f t="shared" si="72"/>
        <v>0</v>
      </c>
    </row>
    <row r="227" spans="1:20" ht="30" hidden="1" x14ac:dyDescent="0.2">
      <c r="A227" s="408" t="s">
        <v>228</v>
      </c>
      <c r="B227" s="402"/>
      <c r="C227" s="402"/>
      <c r="D227" s="402"/>
      <c r="E227" s="403">
        <v>8001900000</v>
      </c>
      <c r="F227" s="402"/>
      <c r="G227" s="396">
        <v>961</v>
      </c>
      <c r="H227" s="405">
        <f>'ведом 2024 пр.4'!G1844</f>
        <v>0</v>
      </c>
      <c r="I227" s="405">
        <f>'ведом 2024 пр.4'!H1844</f>
        <v>0</v>
      </c>
      <c r="J227" s="405">
        <f>'ведом 2024 пр.4'!I1844</f>
        <v>0</v>
      </c>
      <c r="K227" s="405">
        <f>'ведом 2024 пр.4'!J1844</f>
        <v>0</v>
      </c>
      <c r="L227" s="405">
        <f>'ведом 2024 пр.4'!K1844</f>
        <v>0</v>
      </c>
      <c r="M227" s="405">
        <f>'ведом 2024 пр.4'!L1844</f>
        <v>0</v>
      </c>
    </row>
    <row r="228" spans="1:20" ht="30" x14ac:dyDescent="0.2">
      <c r="A228" s="406" t="str">
        <f>'ведом 2024 пр.4'!A1848</f>
        <v>Основное мероприятие "Частичное восстановление защитных сооружений на р.Улекчинка с.Улекчин Закаменского района"</v>
      </c>
      <c r="B228" s="402"/>
      <c r="C228" s="402"/>
      <c r="D228" s="402"/>
      <c r="E228" s="403">
        <v>8002000000</v>
      </c>
      <c r="F228" s="402"/>
      <c r="G228" s="396"/>
      <c r="H228" s="405">
        <f t="shared" ref="H228:M228" si="73">H229</f>
        <v>173.16</v>
      </c>
      <c r="I228" s="405">
        <f t="shared" si="73"/>
        <v>0</v>
      </c>
      <c r="J228" s="405">
        <f t="shared" si="73"/>
        <v>39.049999999999997</v>
      </c>
      <c r="K228" s="405">
        <f t="shared" si="73"/>
        <v>0</v>
      </c>
      <c r="L228" s="405">
        <f t="shared" si="73"/>
        <v>-134.11000000000001</v>
      </c>
      <c r="M228" s="405">
        <f t="shared" si="73"/>
        <v>0</v>
      </c>
    </row>
    <row r="229" spans="1:20" ht="30" x14ac:dyDescent="0.2">
      <c r="A229" s="408" t="s">
        <v>228</v>
      </c>
      <c r="B229" s="402"/>
      <c r="C229" s="402"/>
      <c r="D229" s="402"/>
      <c r="E229" s="403">
        <v>8002000000</v>
      </c>
      <c r="F229" s="402"/>
      <c r="G229" s="396">
        <v>961</v>
      </c>
      <c r="H229" s="405">
        <f>'ведом 2024 пр.4'!G1848</f>
        <v>173.16</v>
      </c>
      <c r="I229" s="405">
        <f>'ведом 2024 пр.4'!H1848</f>
        <v>0</v>
      </c>
      <c r="J229" s="405">
        <f>'ведом 2024 пр.4'!I1848</f>
        <v>39.049999999999997</v>
      </c>
      <c r="K229" s="405">
        <f>'ведом 2024 пр.4'!J1848</f>
        <v>0</v>
      </c>
      <c r="L229" s="405">
        <f>'ведом 2024 пр.4'!K1848</f>
        <v>-134.11000000000001</v>
      </c>
      <c r="M229" s="405">
        <f>'ведом 2024 пр.4'!L1848</f>
        <v>0</v>
      </c>
      <c r="N229" s="160" t="s">
        <v>538</v>
      </c>
    </row>
    <row r="230" spans="1:20" x14ac:dyDescent="0.2">
      <c r="A230" s="406" t="str">
        <f>'ведом 2024 пр.4'!A1851</f>
        <v>Основное мероприятие "Мероприятия по декларированию гидротехнических сооружений в у.Далахай""</v>
      </c>
      <c r="B230" s="402"/>
      <c r="C230" s="402"/>
      <c r="D230" s="402"/>
      <c r="E230" s="403">
        <v>8002100000</v>
      </c>
      <c r="F230" s="402"/>
      <c r="G230" s="396"/>
      <c r="H230" s="405">
        <f t="shared" ref="H230:M230" si="74">H231</f>
        <v>600</v>
      </c>
      <c r="I230" s="405">
        <f t="shared" si="74"/>
        <v>0</v>
      </c>
      <c r="J230" s="405">
        <f t="shared" si="74"/>
        <v>600</v>
      </c>
      <c r="K230" s="405">
        <f t="shared" si="74"/>
        <v>0</v>
      </c>
      <c r="L230" s="405">
        <f t="shared" si="74"/>
        <v>0</v>
      </c>
      <c r="M230" s="405">
        <f t="shared" si="74"/>
        <v>0</v>
      </c>
      <c r="N230" s="160"/>
    </row>
    <row r="231" spans="1:20" ht="30" x14ac:dyDescent="0.2">
      <c r="A231" s="408" t="s">
        <v>228</v>
      </c>
      <c r="B231" s="402"/>
      <c r="C231" s="402"/>
      <c r="D231" s="402"/>
      <c r="E231" s="403">
        <v>8002100000</v>
      </c>
      <c r="F231" s="402"/>
      <c r="G231" s="396">
        <v>961</v>
      </c>
      <c r="H231" s="405">
        <f>'ведом 2024 пр.4'!G1851</f>
        <v>600</v>
      </c>
      <c r="I231" s="405">
        <f>'ведом 2024 пр.4'!H1851</f>
        <v>0</v>
      </c>
      <c r="J231" s="405">
        <f>'ведом 2024 пр.4'!I1851</f>
        <v>600</v>
      </c>
      <c r="K231" s="405">
        <f>'ведом 2024 пр.4'!J1851</f>
        <v>0</v>
      </c>
      <c r="L231" s="405">
        <f>'ведом 2024 пр.4'!K1851</f>
        <v>0</v>
      </c>
      <c r="M231" s="405">
        <f>'ведом 2024 пр.4'!L1851</f>
        <v>0</v>
      </c>
      <c r="N231" s="160"/>
    </row>
    <row r="232" spans="1:20" ht="30" x14ac:dyDescent="0.2">
      <c r="A232" s="406" t="str">
        <f>'ведом 2024 пр.4'!A2157</f>
        <v xml:space="preserve">          Основное мероприятие "Разработка проектной документации по ликвидации накопленного вреда окружающей среде в с.Хамней Закаменского района (№730 ГРОНВОС)"</v>
      </c>
      <c r="B232" s="402"/>
      <c r="C232" s="402"/>
      <c r="D232" s="402"/>
      <c r="E232" s="403">
        <v>8002700000</v>
      </c>
      <c r="F232" s="402"/>
      <c r="G232" s="396"/>
      <c r="H232" s="405">
        <f>H233</f>
        <v>0</v>
      </c>
      <c r="I232" s="405">
        <f t="shared" ref="I232:L232" si="75">I233</f>
        <v>0</v>
      </c>
      <c r="J232" s="405">
        <f t="shared" si="75"/>
        <v>369.5</v>
      </c>
      <c r="K232" s="405">
        <f t="shared" si="75"/>
        <v>0</v>
      </c>
      <c r="L232" s="405">
        <f t="shared" si="75"/>
        <v>369.5</v>
      </c>
      <c r="M232" s="405"/>
      <c r="N232" s="160"/>
    </row>
    <row r="233" spans="1:20" ht="30" x14ac:dyDescent="0.2">
      <c r="A233" s="408" t="s">
        <v>228</v>
      </c>
      <c r="B233" s="402"/>
      <c r="C233" s="402"/>
      <c r="D233" s="402"/>
      <c r="E233" s="403">
        <v>8002700000</v>
      </c>
      <c r="F233" s="402"/>
      <c r="G233" s="396">
        <v>961</v>
      </c>
      <c r="H233" s="405">
        <f>'ведом 2024 пр.4'!G2157</f>
        <v>0</v>
      </c>
      <c r="I233" s="405">
        <f>'ведом 2024 пр.4'!H2157</f>
        <v>0</v>
      </c>
      <c r="J233" s="405">
        <f>'ведом 2024 пр.4'!I2157</f>
        <v>369.5</v>
      </c>
      <c r="K233" s="405">
        <f>'ведом 2024 пр.4'!J2157</f>
        <v>0</v>
      </c>
      <c r="L233" s="405">
        <f>'ведом 2024 пр.4'!K2157</f>
        <v>369.5</v>
      </c>
      <c r="M233" s="405">
        <f>'ведом 2024 пр.4'!L2157</f>
        <v>0</v>
      </c>
      <c r="N233" s="160"/>
    </row>
    <row r="234" spans="1:20" ht="30" x14ac:dyDescent="0.2">
      <c r="A234" s="406" t="str">
        <f>'ведом 2024 пр.4'!A2160</f>
        <v xml:space="preserve">          Основное мероприятие "Инструментальный замер объемов несанкционированных свалок отходов в Закаменском районе Республики Бурятия"</v>
      </c>
      <c r="B234" s="402"/>
      <c r="C234" s="402"/>
      <c r="D234" s="402"/>
      <c r="E234" s="403">
        <v>8003000000</v>
      </c>
      <c r="F234" s="402"/>
      <c r="G234" s="396"/>
      <c r="H234" s="405">
        <f>H235</f>
        <v>0</v>
      </c>
      <c r="I234" s="405">
        <f t="shared" ref="I234:M234" si="76">I235</f>
        <v>0</v>
      </c>
      <c r="J234" s="405">
        <f t="shared" si="76"/>
        <v>540</v>
      </c>
      <c r="K234" s="405">
        <f t="shared" si="76"/>
        <v>0</v>
      </c>
      <c r="L234" s="405">
        <f t="shared" si="76"/>
        <v>540</v>
      </c>
      <c r="M234" s="405">
        <f t="shared" si="76"/>
        <v>0</v>
      </c>
      <c r="N234" s="160"/>
    </row>
    <row r="235" spans="1:20" ht="30" x14ac:dyDescent="0.2">
      <c r="A235" s="408" t="s">
        <v>228</v>
      </c>
      <c r="B235" s="402"/>
      <c r="C235" s="402"/>
      <c r="D235" s="402"/>
      <c r="E235" s="403">
        <v>8003000000</v>
      </c>
      <c r="F235" s="402"/>
      <c r="G235" s="396">
        <v>961</v>
      </c>
      <c r="H235" s="405">
        <f>'ведом 2024 пр.4'!G2160</f>
        <v>0</v>
      </c>
      <c r="I235" s="405">
        <f>'ведом 2024 пр.4'!H2160</f>
        <v>0</v>
      </c>
      <c r="J235" s="405">
        <f>'ведом 2024 пр.4'!I2160</f>
        <v>540</v>
      </c>
      <c r="K235" s="405">
        <f>'ведом 2024 пр.4'!J2160</f>
        <v>0</v>
      </c>
      <c r="L235" s="405">
        <f>'ведом 2024 пр.4'!K2160</f>
        <v>540</v>
      </c>
      <c r="M235" s="405">
        <f>'ведом 2024 пр.4'!L2160</f>
        <v>0</v>
      </c>
      <c r="N235" s="160"/>
    </row>
    <row r="236" spans="1:20" ht="28.5" x14ac:dyDescent="0.2">
      <c r="A236" s="555" t="str">
        <f>'ведом 2024 пр.4'!A286</f>
        <v>Муниципальная программа "Экономическое развитие муниципального образования "Закаменский район""</v>
      </c>
      <c r="B236" s="402"/>
      <c r="C236" s="402"/>
      <c r="D236" s="402"/>
      <c r="E236" s="559">
        <v>8100000000</v>
      </c>
      <c r="F236" s="394"/>
      <c r="G236" s="561"/>
      <c r="H236" s="560">
        <f>H264+H246+H237+H273+H276</f>
        <v>9324.2801199999994</v>
      </c>
      <c r="I236" s="560">
        <f>I264+I246+I237+I273+I276</f>
        <v>158.97552999999999</v>
      </c>
      <c r="J236" s="560">
        <f>J264+J246+J237+J273+J276</f>
        <v>11626.880209999999</v>
      </c>
      <c r="K236" s="560">
        <f>K264+K246+K237+K273+K276</f>
        <v>158.97552999999999</v>
      </c>
      <c r="L236" s="560">
        <f t="shared" ref="L236:L279" si="77">J236-H236</f>
        <v>2302.6000899999999</v>
      </c>
      <c r="M236" s="560">
        <f t="shared" ref="M236:M279" si="78">K236-I236</f>
        <v>0</v>
      </c>
      <c r="N236" s="549">
        <f>H236-'ведом 2024 пр.4'!G2394</f>
        <v>0</v>
      </c>
      <c r="O236" s="549">
        <f>I236-'ведом 2024 пр.4'!H2394</f>
        <v>0</v>
      </c>
      <c r="P236" s="549">
        <f>J236-'ведом 2024 пр.4'!I2394</f>
        <v>0</v>
      </c>
      <c r="Q236" s="549">
        <f>K236-'ведом 2024 пр.4'!J2394</f>
        <v>0</v>
      </c>
      <c r="R236" s="549"/>
      <c r="S236" s="549"/>
      <c r="T236" s="549"/>
    </row>
    <row r="237" spans="1:20" x14ac:dyDescent="0.2">
      <c r="A237" s="408" t="str">
        <f>'ведом 2024 пр.4'!A382</f>
        <v>Подпрограмма "Развитие малого и среднего предпринимательства в Закаменского районе"</v>
      </c>
      <c r="B237" s="402"/>
      <c r="C237" s="402"/>
      <c r="D237" s="402"/>
      <c r="E237" s="403">
        <v>8110000000</v>
      </c>
      <c r="F237" s="394"/>
      <c r="G237" s="395"/>
      <c r="H237" s="405">
        <f>H244+H238+H240+H242</f>
        <v>135</v>
      </c>
      <c r="I237" s="405">
        <f>I244+I238+I240+I242</f>
        <v>0</v>
      </c>
      <c r="J237" s="405">
        <f>J244+J238+J240+J242</f>
        <v>82.2</v>
      </c>
      <c r="K237" s="405">
        <f>K244+K238+K240+K242</f>
        <v>0</v>
      </c>
      <c r="L237" s="405">
        <f t="shared" si="77"/>
        <v>-52.8</v>
      </c>
      <c r="M237" s="405">
        <f t="shared" si="78"/>
        <v>0</v>
      </c>
      <c r="N237" s="39"/>
    </row>
    <row r="238" spans="1:20" ht="30" x14ac:dyDescent="0.2">
      <c r="A238" s="408" t="str">
        <f>'ведом 2024 пр.4'!A383</f>
        <v>Основное мероприятие "Организация и проведение выставок, ярмарок товаров и услуг местных товаропроизводителей"</v>
      </c>
      <c r="B238" s="402"/>
      <c r="C238" s="402"/>
      <c r="D238" s="402"/>
      <c r="E238" s="403">
        <v>8110100000</v>
      </c>
      <c r="F238" s="395"/>
      <c r="G238" s="395"/>
      <c r="H238" s="405">
        <f>H239</f>
        <v>25</v>
      </c>
      <c r="I238" s="405">
        <f>I239</f>
        <v>0</v>
      </c>
      <c r="J238" s="405">
        <f>J239</f>
        <v>34.378</v>
      </c>
      <c r="K238" s="405">
        <f>K239</f>
        <v>0</v>
      </c>
      <c r="L238" s="405">
        <f t="shared" si="77"/>
        <v>9.3780000000000001</v>
      </c>
      <c r="M238" s="405">
        <f t="shared" si="78"/>
        <v>0</v>
      </c>
      <c r="N238" s="39"/>
    </row>
    <row r="239" spans="1:20" ht="30" x14ac:dyDescent="0.2">
      <c r="A239" s="408" t="s">
        <v>76</v>
      </c>
      <c r="B239" s="402"/>
      <c r="C239" s="402"/>
      <c r="D239" s="402"/>
      <c r="E239" s="403">
        <v>8110100000</v>
      </c>
      <c r="F239" s="396">
        <v>939</v>
      </c>
      <c r="G239" s="396">
        <v>939</v>
      </c>
      <c r="H239" s="405">
        <f>'ведом 2024 пр.4'!G383</f>
        <v>25</v>
      </c>
      <c r="I239" s="405">
        <f>'ведом 2024 пр.4'!H383</f>
        <v>0</v>
      </c>
      <c r="J239" s="405">
        <f>'ведом 2024 пр.4'!I383</f>
        <v>34.378</v>
      </c>
      <c r="K239" s="405">
        <f>'ведом 2024 пр.4'!J383</f>
        <v>0</v>
      </c>
      <c r="L239" s="405">
        <f t="shared" si="77"/>
        <v>9.3780000000000001</v>
      </c>
      <c r="M239" s="405">
        <f t="shared" si="78"/>
        <v>0</v>
      </c>
      <c r="N239" s="39"/>
    </row>
    <row r="240" spans="1:20" ht="30" x14ac:dyDescent="0.2">
      <c r="A240" s="408" t="str">
        <f>'ведом 2024 пр.4'!A386</f>
        <v>Основное мероприятие "Проведение отраслевых конкурсов, конкурсов профессионального мастерства в сфере среднего и малого предпринимательства "Мастер года"</v>
      </c>
      <c r="B240" s="402"/>
      <c r="C240" s="402"/>
      <c r="D240" s="402"/>
      <c r="E240" s="403">
        <v>8110200000</v>
      </c>
      <c r="F240" s="394"/>
      <c r="G240" s="395"/>
      <c r="H240" s="405">
        <f>H241</f>
        <v>25</v>
      </c>
      <c r="I240" s="405">
        <f>I241</f>
        <v>0</v>
      </c>
      <c r="J240" s="405">
        <f>J241</f>
        <v>5</v>
      </c>
      <c r="K240" s="405">
        <f>K241</f>
        <v>0</v>
      </c>
      <c r="L240" s="405">
        <f t="shared" si="77"/>
        <v>-20</v>
      </c>
      <c r="M240" s="405">
        <f t="shared" si="78"/>
        <v>0</v>
      </c>
      <c r="N240" s="39"/>
    </row>
    <row r="241" spans="1:14" ht="30" x14ac:dyDescent="0.2">
      <c r="A241" s="408" t="s">
        <v>76</v>
      </c>
      <c r="B241" s="402"/>
      <c r="C241" s="402"/>
      <c r="D241" s="402"/>
      <c r="E241" s="403">
        <v>8110200000</v>
      </c>
      <c r="F241" s="394"/>
      <c r="G241" s="396">
        <v>939</v>
      </c>
      <c r="H241" s="405">
        <f>'ведом 2024 пр.4'!G386</f>
        <v>25</v>
      </c>
      <c r="I241" s="405">
        <f>'ведом 2024 пр.4'!H386</f>
        <v>0</v>
      </c>
      <c r="J241" s="405">
        <f>'ведом 2024 пр.4'!I386</f>
        <v>5</v>
      </c>
      <c r="K241" s="405">
        <f>'ведом 2024 пр.4'!J386</f>
        <v>0</v>
      </c>
      <c r="L241" s="405">
        <f t="shared" si="77"/>
        <v>-20</v>
      </c>
      <c r="M241" s="405">
        <f t="shared" si="78"/>
        <v>0</v>
      </c>
      <c r="N241" s="39"/>
    </row>
    <row r="242" spans="1:14" x14ac:dyDescent="0.2">
      <c r="A242" s="408" t="str">
        <f>'ведом 2024 пр.4'!A389</f>
        <v>Основное мероприятие "Проведение профессиональных праздников СМП"</v>
      </c>
      <c r="B242" s="402"/>
      <c r="C242" s="402"/>
      <c r="D242" s="402"/>
      <c r="E242" s="403">
        <v>8110300000</v>
      </c>
      <c r="F242" s="394"/>
      <c r="G242" s="395"/>
      <c r="H242" s="405">
        <f>H243</f>
        <v>55</v>
      </c>
      <c r="I242" s="405">
        <f>I243</f>
        <v>0</v>
      </c>
      <c r="J242" s="405">
        <f>J243</f>
        <v>22.2</v>
      </c>
      <c r="K242" s="405">
        <f>K243</f>
        <v>0</v>
      </c>
      <c r="L242" s="405">
        <f t="shared" si="77"/>
        <v>-32.799999999999997</v>
      </c>
      <c r="M242" s="405">
        <f t="shared" si="78"/>
        <v>0</v>
      </c>
      <c r="N242" s="39"/>
    </row>
    <row r="243" spans="1:14" ht="30" x14ac:dyDescent="0.2">
      <c r="A243" s="408" t="s">
        <v>76</v>
      </c>
      <c r="B243" s="402"/>
      <c r="C243" s="402"/>
      <c r="D243" s="402"/>
      <c r="E243" s="403">
        <v>8110300000</v>
      </c>
      <c r="F243" s="394"/>
      <c r="G243" s="396">
        <v>939</v>
      </c>
      <c r="H243" s="405">
        <f>'ведом 2024 пр.4'!G389</f>
        <v>55</v>
      </c>
      <c r="I243" s="405">
        <f>'ведом 2024 пр.4'!H389</f>
        <v>0</v>
      </c>
      <c r="J243" s="405">
        <f>'ведом 2024 пр.4'!I389</f>
        <v>22.2</v>
      </c>
      <c r="K243" s="405">
        <f>'ведом 2024 пр.4'!J389</f>
        <v>0</v>
      </c>
      <c r="L243" s="405">
        <f t="shared" si="77"/>
        <v>-32.799999999999997</v>
      </c>
      <c r="M243" s="405">
        <f t="shared" si="78"/>
        <v>0</v>
      </c>
      <c r="N243" s="39"/>
    </row>
    <row r="244" spans="1:14" x14ac:dyDescent="0.2">
      <c r="A244" s="408" t="str">
        <f>'ведом 2024 пр.4'!A392</f>
        <v>Основное мероприятие "Проведение семинаров, мастер-классов, конференций, тренингов, круглых столов"</v>
      </c>
      <c r="B244" s="402"/>
      <c r="C244" s="402"/>
      <c r="D244" s="402"/>
      <c r="E244" s="403">
        <v>8110400000</v>
      </c>
      <c r="F244" s="394"/>
      <c r="G244" s="395"/>
      <c r="H244" s="405">
        <f>H245</f>
        <v>30</v>
      </c>
      <c r="I244" s="405">
        <f>I245</f>
        <v>0</v>
      </c>
      <c r="J244" s="405">
        <f>J245</f>
        <v>20.622</v>
      </c>
      <c r="K244" s="405">
        <f>K245</f>
        <v>0</v>
      </c>
      <c r="L244" s="405">
        <f t="shared" si="77"/>
        <v>-9.3780000000000001</v>
      </c>
      <c r="M244" s="405">
        <f t="shared" si="78"/>
        <v>0</v>
      </c>
      <c r="N244" s="39"/>
    </row>
    <row r="245" spans="1:14" ht="30" x14ac:dyDescent="0.2">
      <c r="A245" s="408" t="s">
        <v>76</v>
      </c>
      <c r="B245" s="402"/>
      <c r="C245" s="402"/>
      <c r="D245" s="402"/>
      <c r="E245" s="403">
        <v>8110400000</v>
      </c>
      <c r="F245" s="402"/>
      <c r="G245" s="396">
        <v>939</v>
      </c>
      <c r="H245" s="405">
        <f>'ведом 2024 пр.4'!G392</f>
        <v>30</v>
      </c>
      <c r="I245" s="405">
        <f>'ведом 2024 пр.4'!H392</f>
        <v>0</v>
      </c>
      <c r="J245" s="405">
        <f>'ведом 2024 пр.4'!I392</f>
        <v>20.622</v>
      </c>
      <c r="K245" s="405">
        <f>'ведом 2024 пр.4'!J392</f>
        <v>0</v>
      </c>
      <c r="L245" s="405">
        <f t="shared" si="77"/>
        <v>-9.3780000000000001</v>
      </c>
      <c r="M245" s="405">
        <f t="shared" si="78"/>
        <v>0</v>
      </c>
      <c r="N245" s="39"/>
    </row>
    <row r="246" spans="1:14" x14ac:dyDescent="0.2">
      <c r="A246" s="408" t="str">
        <f>'ведом 2024 пр.4'!A395</f>
        <v>Подпрограмма "Развитие внутреннего и въездного туризма в Закаменском районе Республики Бурятия"</v>
      </c>
      <c r="B246" s="402"/>
      <c r="C246" s="402"/>
      <c r="D246" s="402"/>
      <c r="E246" s="403">
        <v>8120000000</v>
      </c>
      <c r="F246" s="402"/>
      <c r="G246" s="396"/>
      <c r="H246" s="405">
        <f>H254+H256+H249+H251+H258+H247+H260+H262</f>
        <v>1170</v>
      </c>
      <c r="I246" s="405">
        <f>I254+I256+I249+I251+I258+I247+I260+I262</f>
        <v>0</v>
      </c>
      <c r="J246" s="405">
        <f>J254+J256+J249+J251+J258+J247+J260+J262</f>
        <v>869.91200000000003</v>
      </c>
      <c r="K246" s="405">
        <f>K254+K256+K249+K251+K258+K247+K260+K262</f>
        <v>0</v>
      </c>
      <c r="L246" s="405">
        <f t="shared" si="77"/>
        <v>-300.08799999999997</v>
      </c>
      <c r="M246" s="405">
        <f t="shared" si="78"/>
        <v>0</v>
      </c>
      <c r="N246" s="39"/>
    </row>
    <row r="247" spans="1:14" hidden="1" x14ac:dyDescent="0.2">
      <c r="A247" s="406" t="str">
        <f>'ведом 2024 пр.4'!A396</f>
        <v>Основное мероприятие "Проведение государственной экспертизы достоверности определения сметной стоимости"</v>
      </c>
      <c r="B247" s="402"/>
      <c r="C247" s="402"/>
      <c r="D247" s="402"/>
      <c r="E247" s="403">
        <v>8120100000</v>
      </c>
      <c r="F247" s="402"/>
      <c r="G247" s="396"/>
      <c r="H247" s="405">
        <f>H248</f>
        <v>50</v>
      </c>
      <c r="I247" s="405">
        <f>I248</f>
        <v>0</v>
      </c>
      <c r="J247" s="405">
        <f>J248</f>
        <v>0</v>
      </c>
      <c r="K247" s="405">
        <f>K248</f>
        <v>0</v>
      </c>
      <c r="L247" s="405">
        <f t="shared" si="77"/>
        <v>-50</v>
      </c>
      <c r="M247" s="405">
        <f t="shared" si="78"/>
        <v>0</v>
      </c>
      <c r="N247" s="39"/>
    </row>
    <row r="248" spans="1:14" ht="30" hidden="1" x14ac:dyDescent="0.2">
      <c r="A248" s="408" t="s">
        <v>76</v>
      </c>
      <c r="B248" s="402"/>
      <c r="C248" s="402"/>
      <c r="D248" s="402"/>
      <c r="E248" s="403">
        <v>8120100000</v>
      </c>
      <c r="F248" s="402"/>
      <c r="G248" s="396">
        <v>939</v>
      </c>
      <c r="H248" s="405">
        <f>'ведом 2024 пр.4'!G396</f>
        <v>50</v>
      </c>
      <c r="I248" s="405">
        <f>'ведом 2024 пр.4'!H396</f>
        <v>0</v>
      </c>
      <c r="J248" s="405">
        <f>'ведом 2024 пр.4'!I396</f>
        <v>0</v>
      </c>
      <c r="K248" s="405">
        <f>'ведом 2024 пр.4'!J396</f>
        <v>0</v>
      </c>
      <c r="L248" s="405">
        <f t="shared" si="77"/>
        <v>-50</v>
      </c>
      <c r="M248" s="405">
        <f t="shared" si="78"/>
        <v>0</v>
      </c>
      <c r="N248" s="39"/>
    </row>
    <row r="249" spans="1:14" x14ac:dyDescent="0.2">
      <c r="A249" s="408" t="str">
        <f>'ведом 2024 пр.4'!A399</f>
        <v>Основное мероприятие "Благоустройство территорий, прилегающих к местам туристического показа"</v>
      </c>
      <c r="B249" s="402"/>
      <c r="C249" s="402"/>
      <c r="D249" s="402"/>
      <c r="E249" s="403">
        <v>8120200000</v>
      </c>
      <c r="F249" s="402"/>
      <c r="G249" s="396"/>
      <c r="H249" s="405">
        <f>H250</f>
        <v>300</v>
      </c>
      <c r="I249" s="405">
        <f>I250</f>
        <v>0</v>
      </c>
      <c r="J249" s="405">
        <f>J250</f>
        <v>96</v>
      </c>
      <c r="K249" s="405">
        <f>K250</f>
        <v>0</v>
      </c>
      <c r="L249" s="405">
        <f t="shared" si="77"/>
        <v>-204</v>
      </c>
      <c r="M249" s="405">
        <f t="shared" si="78"/>
        <v>0</v>
      </c>
      <c r="N249" s="39"/>
    </row>
    <row r="250" spans="1:14" ht="30" x14ac:dyDescent="0.2">
      <c r="A250" s="408" t="s">
        <v>76</v>
      </c>
      <c r="B250" s="402"/>
      <c r="C250" s="402"/>
      <c r="D250" s="402"/>
      <c r="E250" s="403">
        <v>8120200000</v>
      </c>
      <c r="F250" s="402"/>
      <c r="G250" s="396">
        <v>939</v>
      </c>
      <c r="H250" s="405">
        <f>'ведом 2024 пр.4'!G399</f>
        <v>300</v>
      </c>
      <c r="I250" s="405">
        <f>'ведом 2024 пр.4'!H399</f>
        <v>0</v>
      </c>
      <c r="J250" s="405">
        <f>'ведом 2024 пр.4'!I399</f>
        <v>96</v>
      </c>
      <c r="K250" s="405">
        <f>'ведом 2024 пр.4'!J399</f>
        <v>0</v>
      </c>
      <c r="L250" s="405">
        <f t="shared" si="77"/>
        <v>-204</v>
      </c>
      <c r="M250" s="405">
        <f t="shared" si="78"/>
        <v>0</v>
      </c>
      <c r="N250" s="39"/>
    </row>
    <row r="251" spans="1:14" ht="30" hidden="1" x14ac:dyDescent="0.2">
      <c r="A251" s="408" t="str">
        <f>'ведом 2024 пр.4'!A402</f>
        <v xml:space="preserve">  Основное мероприятие "Разработка и реализация инвестиционного проекта "Парк религиозно-познавательного туризма "Арьяа Баала""</v>
      </c>
      <c r="B251" s="402"/>
      <c r="C251" s="402"/>
      <c r="D251" s="402"/>
      <c r="E251" s="403">
        <v>8120300000</v>
      </c>
      <c r="F251" s="402"/>
      <c r="G251" s="396"/>
      <c r="H251" s="405">
        <f>H252+H253</f>
        <v>0</v>
      </c>
      <c r="I251" s="405">
        <f>I252+I253</f>
        <v>0</v>
      </c>
      <c r="J251" s="405">
        <f>J252+J253</f>
        <v>0</v>
      </c>
      <c r="K251" s="405">
        <f>K252+K253</f>
        <v>0</v>
      </c>
      <c r="L251" s="405">
        <f t="shared" si="77"/>
        <v>0</v>
      </c>
      <c r="M251" s="405">
        <f t="shared" si="78"/>
        <v>0</v>
      </c>
      <c r="N251" s="39"/>
    </row>
    <row r="252" spans="1:14" ht="30" hidden="1" x14ac:dyDescent="0.2">
      <c r="A252" s="408" t="s">
        <v>76</v>
      </c>
      <c r="B252" s="402"/>
      <c r="C252" s="402"/>
      <c r="D252" s="402"/>
      <c r="E252" s="403">
        <v>8120300000</v>
      </c>
      <c r="F252" s="402"/>
      <c r="G252" s="396">
        <v>939</v>
      </c>
      <c r="H252" s="405">
        <f>'ведом 2024 пр.4'!G402</f>
        <v>0</v>
      </c>
      <c r="I252" s="405">
        <f>'ведом 2024 пр.4'!H402</f>
        <v>0</v>
      </c>
      <c r="J252" s="405">
        <f>'ведом 2024 пр.4'!I402</f>
        <v>0</v>
      </c>
      <c r="K252" s="405">
        <f>'ведом 2024 пр.4'!J402</f>
        <v>0</v>
      </c>
      <c r="L252" s="405">
        <f t="shared" si="77"/>
        <v>0</v>
      </c>
      <c r="M252" s="405">
        <f t="shared" si="78"/>
        <v>0</v>
      </c>
      <c r="N252" s="39"/>
    </row>
    <row r="253" spans="1:14" ht="30" hidden="1" customHeight="1" x14ac:dyDescent="0.2">
      <c r="A253" s="408" t="s">
        <v>73</v>
      </c>
      <c r="B253" s="402"/>
      <c r="C253" s="402"/>
      <c r="D253" s="402"/>
      <c r="E253" s="403">
        <v>8120300000</v>
      </c>
      <c r="F253" s="402"/>
      <c r="G253" s="396">
        <v>959</v>
      </c>
      <c r="H253" s="405">
        <f>'ведом 2024 пр.4'!G1413</f>
        <v>0</v>
      </c>
      <c r="I253" s="405">
        <f>'ведом 2024 пр.4'!H1413</f>
        <v>0</v>
      </c>
      <c r="J253" s="405">
        <f>'ведом 2024 пр.4'!I1413</f>
        <v>0</v>
      </c>
      <c r="K253" s="405">
        <f>'ведом 2024 пр.4'!J1413</f>
        <v>0</v>
      </c>
      <c r="L253" s="405">
        <f t="shared" si="77"/>
        <v>0</v>
      </c>
      <c r="M253" s="405">
        <f t="shared" si="78"/>
        <v>0</v>
      </c>
      <c r="N253" s="39"/>
    </row>
    <row r="254" spans="1:14" x14ac:dyDescent="0.2">
      <c r="A254" s="408" t="str">
        <f>'ведом 2024 пр.4'!A407</f>
        <v>Основное мероприятие "Разработка и изготовление знаков туристской навигации"</v>
      </c>
      <c r="B254" s="402"/>
      <c r="C254" s="402"/>
      <c r="D254" s="402"/>
      <c r="E254" s="403">
        <v>8120400000</v>
      </c>
      <c r="F254" s="402"/>
      <c r="G254" s="396"/>
      <c r="H254" s="405">
        <f>H255</f>
        <v>120</v>
      </c>
      <c r="I254" s="405">
        <f>I255</f>
        <v>0</v>
      </c>
      <c r="J254" s="405">
        <f>J255</f>
        <v>73.912000000000006</v>
      </c>
      <c r="K254" s="405">
        <f>K255</f>
        <v>0</v>
      </c>
      <c r="L254" s="405">
        <f t="shared" si="77"/>
        <v>-46.087999999999994</v>
      </c>
      <c r="M254" s="405">
        <f t="shared" si="78"/>
        <v>0</v>
      </c>
      <c r="N254" s="39"/>
    </row>
    <row r="255" spans="1:14" ht="30" x14ac:dyDescent="0.2">
      <c r="A255" s="408" t="s">
        <v>76</v>
      </c>
      <c r="B255" s="402"/>
      <c r="C255" s="402"/>
      <c r="D255" s="402"/>
      <c r="E255" s="403">
        <v>8120400000</v>
      </c>
      <c r="F255" s="402"/>
      <c r="G255" s="396">
        <v>939</v>
      </c>
      <c r="H255" s="405">
        <f>'ведом 2024 пр.4'!G407</f>
        <v>120</v>
      </c>
      <c r="I255" s="405">
        <f>'ведом 2024 пр.4'!H407</f>
        <v>0</v>
      </c>
      <c r="J255" s="405">
        <f>'ведом 2024 пр.4'!I407</f>
        <v>73.912000000000006</v>
      </c>
      <c r="K255" s="405">
        <f>'ведом 2024 пр.4'!J407</f>
        <v>0</v>
      </c>
      <c r="L255" s="405">
        <f t="shared" si="77"/>
        <v>-46.087999999999994</v>
      </c>
      <c r="M255" s="405">
        <f t="shared" si="78"/>
        <v>0</v>
      </c>
      <c r="N255" s="39"/>
    </row>
    <row r="256" spans="1:14" ht="30" hidden="1" x14ac:dyDescent="0.2">
      <c r="A256" s="408" t="str">
        <f>'ведом 2024 пр.4'!A410</f>
        <v>Основное мероприятие "Работы в области признания лечебно-оздоровительной местностью Енгорбойских минеральных источников (аршанов)"</v>
      </c>
      <c r="B256" s="402"/>
      <c r="C256" s="402"/>
      <c r="D256" s="402"/>
      <c r="E256" s="403">
        <v>8120500000</v>
      </c>
      <c r="F256" s="402"/>
      <c r="G256" s="396"/>
      <c r="H256" s="405">
        <f>H257</f>
        <v>0</v>
      </c>
      <c r="I256" s="405">
        <f>I257</f>
        <v>0</v>
      </c>
      <c r="J256" s="405">
        <f>J257</f>
        <v>0</v>
      </c>
      <c r="K256" s="405">
        <f>K257</f>
        <v>0</v>
      </c>
      <c r="L256" s="405">
        <f t="shared" si="77"/>
        <v>0</v>
      </c>
      <c r="M256" s="405">
        <f t="shared" si="78"/>
        <v>0</v>
      </c>
      <c r="N256" s="39"/>
    </row>
    <row r="257" spans="1:14" ht="30" hidden="1" x14ac:dyDescent="0.2">
      <c r="A257" s="408" t="s">
        <v>76</v>
      </c>
      <c r="B257" s="402"/>
      <c r="C257" s="402"/>
      <c r="D257" s="402"/>
      <c r="E257" s="403">
        <v>8120500000</v>
      </c>
      <c r="F257" s="402"/>
      <c r="G257" s="396">
        <v>939</v>
      </c>
      <c r="H257" s="405">
        <f>'ведом 2024 пр.4'!G410</f>
        <v>0</v>
      </c>
      <c r="I257" s="405">
        <f>'ведом 2024 пр.4'!H410</f>
        <v>0</v>
      </c>
      <c r="J257" s="405">
        <f>'ведом 2024 пр.4'!I410</f>
        <v>0</v>
      </c>
      <c r="K257" s="405">
        <f>'ведом 2024 пр.4'!J410</f>
        <v>0</v>
      </c>
      <c r="L257" s="405">
        <f t="shared" si="77"/>
        <v>0</v>
      </c>
      <c r="M257" s="405">
        <f t="shared" si="78"/>
        <v>0</v>
      </c>
      <c r="N257" s="39"/>
    </row>
    <row r="258" spans="1:14" ht="30" x14ac:dyDescent="0.2">
      <c r="A258" s="408" t="str">
        <f>'ведом 2024 пр.4'!A413</f>
        <v>Основное мероприятие "Разработка и презентация туристского потенциала муниципального образования "Закаменский район"</v>
      </c>
      <c r="B258" s="402"/>
      <c r="C258" s="402"/>
      <c r="D258" s="402"/>
      <c r="E258" s="403">
        <v>8120600000</v>
      </c>
      <c r="F258" s="402"/>
      <c r="G258" s="396"/>
      <c r="H258" s="405">
        <f>H259</f>
        <v>100</v>
      </c>
      <c r="I258" s="405">
        <f>I259</f>
        <v>0</v>
      </c>
      <c r="J258" s="405">
        <f>J259</f>
        <v>100</v>
      </c>
      <c r="K258" s="405">
        <f>K259</f>
        <v>0</v>
      </c>
      <c r="L258" s="405">
        <f t="shared" si="77"/>
        <v>0</v>
      </c>
      <c r="M258" s="405">
        <f t="shared" si="78"/>
        <v>0</v>
      </c>
      <c r="N258" s="39"/>
    </row>
    <row r="259" spans="1:14" ht="30" x14ac:dyDescent="0.2">
      <c r="A259" s="408" t="s">
        <v>76</v>
      </c>
      <c r="B259" s="402"/>
      <c r="C259" s="402"/>
      <c r="D259" s="402"/>
      <c r="E259" s="403">
        <v>8120600000</v>
      </c>
      <c r="F259" s="402"/>
      <c r="G259" s="396">
        <v>939</v>
      </c>
      <c r="H259" s="405">
        <f>'ведом 2024 пр.4'!G413</f>
        <v>100</v>
      </c>
      <c r="I259" s="405">
        <f>'ведом 2024 пр.4'!H413</f>
        <v>0</v>
      </c>
      <c r="J259" s="405">
        <f>'ведом 2024 пр.4'!I413</f>
        <v>100</v>
      </c>
      <c r="K259" s="405">
        <f>'ведом 2024 пр.4'!J413</f>
        <v>0</v>
      </c>
      <c r="L259" s="405">
        <f t="shared" si="77"/>
        <v>0</v>
      </c>
      <c r="M259" s="405">
        <f t="shared" si="78"/>
        <v>0</v>
      </c>
      <c r="N259" s="39"/>
    </row>
    <row r="260" spans="1:14" x14ac:dyDescent="0.2">
      <c r="A260" s="406" t="str">
        <f>'ведом 2024 пр.4'!A417</f>
        <v>Основное мероприятие "Участие в конкурсах и грантах в сфере развития туризма"</v>
      </c>
      <c r="B260" s="402"/>
      <c r="C260" s="402"/>
      <c r="D260" s="402"/>
      <c r="E260" s="403">
        <v>8120700000</v>
      </c>
      <c r="F260" s="402"/>
      <c r="G260" s="396"/>
      <c r="H260" s="405">
        <f>H261</f>
        <v>20</v>
      </c>
      <c r="I260" s="405">
        <f>I261</f>
        <v>0</v>
      </c>
      <c r="J260" s="405">
        <f>J261</f>
        <v>20</v>
      </c>
      <c r="K260" s="405">
        <f>K261</f>
        <v>0</v>
      </c>
      <c r="L260" s="405">
        <f t="shared" si="77"/>
        <v>0</v>
      </c>
      <c r="M260" s="405">
        <f t="shared" si="78"/>
        <v>0</v>
      </c>
      <c r="N260" s="39"/>
    </row>
    <row r="261" spans="1:14" ht="30" x14ac:dyDescent="0.2">
      <c r="A261" s="408" t="s">
        <v>76</v>
      </c>
      <c r="B261" s="402"/>
      <c r="C261" s="402"/>
      <c r="D261" s="402"/>
      <c r="E261" s="403">
        <v>8120700000</v>
      </c>
      <c r="F261" s="402"/>
      <c r="G261" s="396">
        <v>939</v>
      </c>
      <c r="H261" s="405">
        <f>'ведом 2024 пр.4'!G417</f>
        <v>20</v>
      </c>
      <c r="I261" s="405">
        <f>'ведом 2024 пр.4'!H417</f>
        <v>0</v>
      </c>
      <c r="J261" s="405">
        <f>'ведом 2024 пр.4'!I417</f>
        <v>20</v>
      </c>
      <c r="K261" s="405">
        <f>'ведом 2024 пр.4'!J417</f>
        <v>0</v>
      </c>
      <c r="L261" s="405">
        <f t="shared" si="77"/>
        <v>0</v>
      </c>
      <c r="M261" s="405">
        <f t="shared" si="78"/>
        <v>0</v>
      </c>
      <c r="N261" s="39"/>
    </row>
    <row r="262" spans="1:14" x14ac:dyDescent="0.2">
      <c r="A262" s="406" t="str">
        <f>'ведом 2024 пр.4'!A421</f>
        <v>Основное мероприятие "Организация и проведение событийных тематических мероприятий на территории района"</v>
      </c>
      <c r="B262" s="402"/>
      <c r="C262" s="402"/>
      <c r="D262" s="402"/>
      <c r="E262" s="403">
        <v>8120800000</v>
      </c>
      <c r="F262" s="402"/>
      <c r="G262" s="396"/>
      <c r="H262" s="405">
        <f>H263</f>
        <v>580</v>
      </c>
      <c r="I262" s="405">
        <f>I263</f>
        <v>0</v>
      </c>
      <c r="J262" s="405">
        <f>J263</f>
        <v>580</v>
      </c>
      <c r="K262" s="405">
        <f>K263</f>
        <v>0</v>
      </c>
      <c r="L262" s="405">
        <f t="shared" si="77"/>
        <v>0</v>
      </c>
      <c r="M262" s="405">
        <f t="shared" si="78"/>
        <v>0</v>
      </c>
      <c r="N262" s="39"/>
    </row>
    <row r="263" spans="1:14" ht="30" x14ac:dyDescent="0.2">
      <c r="A263" s="408" t="s">
        <v>76</v>
      </c>
      <c r="B263" s="402"/>
      <c r="C263" s="402"/>
      <c r="D263" s="402"/>
      <c r="E263" s="403">
        <v>8120800000</v>
      </c>
      <c r="F263" s="402"/>
      <c r="G263" s="396">
        <v>939</v>
      </c>
      <c r="H263" s="405">
        <f>'ведом 2024 пр.4'!G421</f>
        <v>580</v>
      </c>
      <c r="I263" s="405">
        <f>'ведом 2024 пр.4'!H421</f>
        <v>0</v>
      </c>
      <c r="J263" s="405">
        <f>'ведом 2024 пр.4'!I421</f>
        <v>580</v>
      </c>
      <c r="K263" s="405">
        <f>'ведом 2024 пр.4'!J421</f>
        <v>0</v>
      </c>
      <c r="L263" s="405">
        <f t="shared" si="77"/>
        <v>0</v>
      </c>
      <c r="M263" s="405">
        <f t="shared" si="78"/>
        <v>0</v>
      </c>
      <c r="N263" s="39"/>
    </row>
    <row r="264" spans="1:14" x14ac:dyDescent="0.2">
      <c r="A264" s="408" t="str">
        <f>'ведом 2024 пр.4'!A287</f>
        <v>Подпрограмма "Создание условий для экономического развития"</v>
      </c>
      <c r="B264" s="402"/>
      <c r="C264" s="402"/>
      <c r="D264" s="402"/>
      <c r="E264" s="403">
        <v>8130000000</v>
      </c>
      <c r="F264" s="402"/>
      <c r="G264" s="396"/>
      <c r="H264" s="405">
        <f t="shared" ref="H264:M264" si="79">H267+H269+H265+H271</f>
        <v>1898.9977500000002</v>
      </c>
      <c r="I264" s="405">
        <f t="shared" si="79"/>
        <v>158.97552999999999</v>
      </c>
      <c r="J264" s="405">
        <f t="shared" si="79"/>
        <v>2086.4397499999995</v>
      </c>
      <c r="K264" s="405">
        <f t="shared" si="79"/>
        <v>158.97552999999999</v>
      </c>
      <c r="L264" s="405">
        <f t="shared" si="79"/>
        <v>187.44199999999998</v>
      </c>
      <c r="M264" s="405">
        <f t="shared" si="79"/>
        <v>0</v>
      </c>
    </row>
    <row r="265" spans="1:14" x14ac:dyDescent="0.2">
      <c r="A265" s="406" t="str">
        <f>'ведом 2024 пр.4'!A427</f>
        <v>Основное мероприятие "Проведение комплексных кадастровых работ"</v>
      </c>
      <c r="B265" s="402"/>
      <c r="C265" s="402"/>
      <c r="D265" s="402"/>
      <c r="E265" s="403">
        <v>8130100000</v>
      </c>
      <c r="F265" s="402"/>
      <c r="G265" s="396"/>
      <c r="H265" s="405">
        <f>H266</f>
        <v>1444.0830000000001</v>
      </c>
      <c r="I265" s="405">
        <f>I266</f>
        <v>0</v>
      </c>
      <c r="J265" s="405">
        <f>J266</f>
        <v>1444.0830000000001</v>
      </c>
      <c r="K265" s="405">
        <f>K266</f>
        <v>0</v>
      </c>
      <c r="L265" s="405">
        <f t="shared" si="77"/>
        <v>0</v>
      </c>
      <c r="M265" s="405">
        <f t="shared" si="78"/>
        <v>0</v>
      </c>
    </row>
    <row r="266" spans="1:14" ht="30" x14ac:dyDescent="0.2">
      <c r="A266" s="408" t="s">
        <v>76</v>
      </c>
      <c r="B266" s="402"/>
      <c r="C266" s="402"/>
      <c r="D266" s="402"/>
      <c r="E266" s="403">
        <v>8130100000</v>
      </c>
      <c r="F266" s="402"/>
      <c r="G266" s="396">
        <v>939</v>
      </c>
      <c r="H266" s="405">
        <f>'ведом 2024 пр.4'!G427</f>
        <v>1444.0830000000001</v>
      </c>
      <c r="I266" s="405">
        <f>'ведом 2024 пр.4'!H427</f>
        <v>0</v>
      </c>
      <c r="J266" s="405">
        <f>'ведом 2024 пр.4'!I427</f>
        <v>1444.0830000000001</v>
      </c>
      <c r="K266" s="405">
        <f>'ведом 2024 пр.4'!J427</f>
        <v>0</v>
      </c>
      <c r="L266" s="405">
        <f t="shared" si="77"/>
        <v>0</v>
      </c>
      <c r="M266" s="405">
        <f t="shared" si="78"/>
        <v>0</v>
      </c>
    </row>
    <row r="267" spans="1:14" ht="30" x14ac:dyDescent="0.2">
      <c r="A267" s="406" t="str">
        <f>'ведом 2024 пр.4'!A432</f>
        <v>Основное мероприятие "Проведение кадастровых работ по выделу земельных участков в счет земельных долей, находящихся в муниципальной собственности"</v>
      </c>
      <c r="B267" s="402"/>
      <c r="C267" s="402"/>
      <c r="D267" s="402"/>
      <c r="E267" s="403">
        <v>8130200000</v>
      </c>
      <c r="F267" s="402"/>
      <c r="G267" s="396"/>
      <c r="H267" s="405">
        <f>H268</f>
        <v>222.57438999999999</v>
      </c>
      <c r="I267" s="405">
        <f>I268</f>
        <v>158.97552999999999</v>
      </c>
      <c r="J267" s="405">
        <f>J268</f>
        <v>222.57438999999999</v>
      </c>
      <c r="K267" s="405">
        <f>K268</f>
        <v>158.97552999999999</v>
      </c>
      <c r="L267" s="405">
        <f t="shared" si="77"/>
        <v>0</v>
      </c>
      <c r="M267" s="405">
        <f t="shared" si="78"/>
        <v>0</v>
      </c>
    </row>
    <row r="268" spans="1:14" ht="30" x14ac:dyDescent="0.2">
      <c r="A268" s="408" t="s">
        <v>76</v>
      </c>
      <c r="B268" s="402"/>
      <c r="C268" s="402"/>
      <c r="D268" s="402"/>
      <c r="E268" s="403">
        <v>8130200000</v>
      </c>
      <c r="F268" s="402"/>
      <c r="G268" s="396">
        <v>939</v>
      </c>
      <c r="H268" s="405">
        <f>'ведом 2024 пр.4'!G432+'ведом 2024 пр.4'!G361</f>
        <v>222.57438999999999</v>
      </c>
      <c r="I268" s="405">
        <f>'ведом 2024 пр.4'!H432+'ведом 2024 пр.4'!H361</f>
        <v>158.97552999999999</v>
      </c>
      <c r="J268" s="405">
        <f>'ведом 2024 пр.4'!I432+'ведом 2024 пр.4'!I361</f>
        <v>222.57438999999999</v>
      </c>
      <c r="K268" s="405">
        <f>'ведом 2024 пр.4'!J432+'ведом 2024 пр.4'!J361</f>
        <v>158.97552999999999</v>
      </c>
      <c r="L268" s="405">
        <f>'ведом 2024 пр.4'!K432+'ведом 2024 пр.4'!K361</f>
        <v>0</v>
      </c>
      <c r="M268" s="405">
        <f>'ведом 2024 пр.4'!L432+'ведом 2024 пр.4'!L361</f>
        <v>0</v>
      </c>
    </row>
    <row r="269" spans="1:14" ht="45" x14ac:dyDescent="0.2">
      <c r="A269" s="408" t="str">
        <f>'ведом 2024 пр.4'!A435</f>
        <v>Основное мероприятие "Мероприятия направленные на эффективное использование муниципальной собственности (земля, имущество), проведение кадастровых работ (подготовка межевых и технических планов), проведение оценки имущества, земельных участков, страхование транспортных средств, взносы на капитальный ремонт"</v>
      </c>
      <c r="B269" s="402"/>
      <c r="C269" s="402"/>
      <c r="D269" s="402"/>
      <c r="E269" s="403">
        <v>8130300000</v>
      </c>
      <c r="F269" s="402"/>
      <c r="G269" s="396"/>
      <c r="H269" s="405">
        <f>H270</f>
        <v>211.10035999999999</v>
      </c>
      <c r="I269" s="405">
        <f>I270</f>
        <v>0</v>
      </c>
      <c r="J269" s="405">
        <f>J270</f>
        <v>398.54235999999997</v>
      </c>
      <c r="K269" s="405">
        <f>K270</f>
        <v>0</v>
      </c>
      <c r="L269" s="405">
        <f t="shared" si="77"/>
        <v>187.44199999999998</v>
      </c>
      <c r="M269" s="405">
        <f t="shared" si="78"/>
        <v>0</v>
      </c>
    </row>
    <row r="270" spans="1:14" ht="30" x14ac:dyDescent="0.2">
      <c r="A270" s="408" t="s">
        <v>76</v>
      </c>
      <c r="B270" s="402"/>
      <c r="C270" s="402"/>
      <c r="D270" s="402"/>
      <c r="E270" s="403">
        <v>8130300000</v>
      </c>
      <c r="F270" s="402"/>
      <c r="G270" s="396">
        <v>939</v>
      </c>
      <c r="H270" s="405">
        <f>'ведом 2024 пр.4'!G435</f>
        <v>211.10035999999999</v>
      </c>
      <c r="I270" s="405">
        <f>'ведом 2024 пр.4'!H435</f>
        <v>0</v>
      </c>
      <c r="J270" s="405">
        <f>'ведом 2024 пр.4'!I435</f>
        <v>398.54235999999997</v>
      </c>
      <c r="K270" s="405">
        <f>'ведом 2024 пр.4'!J435</f>
        <v>0</v>
      </c>
      <c r="L270" s="405">
        <f t="shared" si="77"/>
        <v>187.44199999999998</v>
      </c>
      <c r="M270" s="405">
        <f t="shared" si="78"/>
        <v>0</v>
      </c>
    </row>
    <row r="271" spans="1:14" x14ac:dyDescent="0.2">
      <c r="A271" s="406" t="str">
        <f>'ведом 2024 пр.4'!A440</f>
        <v>Основное мероприятие "Мероприятия по содержанию муниципального имущества"</v>
      </c>
      <c r="B271" s="402"/>
      <c r="C271" s="402"/>
      <c r="D271" s="402"/>
      <c r="E271" s="403">
        <v>8130600000</v>
      </c>
      <c r="F271" s="402"/>
      <c r="G271" s="396"/>
      <c r="H271" s="405">
        <f t="shared" ref="H271:M271" si="80">H272</f>
        <v>21.24</v>
      </c>
      <c r="I271" s="405">
        <f t="shared" si="80"/>
        <v>0</v>
      </c>
      <c r="J271" s="405">
        <f t="shared" si="80"/>
        <v>21.24</v>
      </c>
      <c r="K271" s="405">
        <f t="shared" si="80"/>
        <v>0</v>
      </c>
      <c r="L271" s="405">
        <f t="shared" si="80"/>
        <v>0</v>
      </c>
      <c r="M271" s="405">
        <f t="shared" si="80"/>
        <v>0</v>
      </c>
    </row>
    <row r="272" spans="1:14" ht="30" x14ac:dyDescent="0.2">
      <c r="A272" s="408" t="s">
        <v>76</v>
      </c>
      <c r="B272" s="402"/>
      <c r="C272" s="402"/>
      <c r="D272" s="402"/>
      <c r="E272" s="403">
        <v>8130600000</v>
      </c>
      <c r="F272" s="402"/>
      <c r="G272" s="396">
        <v>939</v>
      </c>
      <c r="H272" s="405">
        <f>'ведом 2024 пр.4'!G440</f>
        <v>21.24</v>
      </c>
      <c r="I272" s="405">
        <f>'ведом 2024 пр.4'!H440</f>
        <v>0</v>
      </c>
      <c r="J272" s="405">
        <f>'ведом 2024 пр.4'!I440</f>
        <v>21.24</v>
      </c>
      <c r="K272" s="405">
        <f>'ведом 2024 пр.4'!J440</f>
        <v>0</v>
      </c>
      <c r="L272" s="405">
        <f>'ведом 2024 пр.4'!K440</f>
        <v>0</v>
      </c>
      <c r="M272" s="405">
        <f>'ведом 2024 пр.4'!L440</f>
        <v>0</v>
      </c>
    </row>
    <row r="273" spans="1:21" x14ac:dyDescent="0.2">
      <c r="A273" s="406" t="str">
        <f>'ведом 2024 пр.4'!A443</f>
        <v>Подпрограмма "Развитие трудовых отношений в Закаменском районе"</v>
      </c>
      <c r="B273" s="402"/>
      <c r="C273" s="402"/>
      <c r="D273" s="402"/>
      <c r="E273" s="403">
        <v>8160000000</v>
      </c>
      <c r="F273" s="402"/>
      <c r="G273" s="396"/>
      <c r="H273" s="405">
        <f>H274</f>
        <v>150</v>
      </c>
      <c r="I273" s="405">
        <f t="shared" ref="I273:K274" si="81">I274</f>
        <v>0</v>
      </c>
      <c r="J273" s="405">
        <f>J274</f>
        <v>150</v>
      </c>
      <c r="K273" s="405">
        <f t="shared" si="81"/>
        <v>0</v>
      </c>
      <c r="L273" s="405">
        <f t="shared" si="77"/>
        <v>0</v>
      </c>
      <c r="M273" s="405">
        <f t="shared" si="78"/>
        <v>0</v>
      </c>
    </row>
    <row r="274" spans="1:21" x14ac:dyDescent="0.2">
      <c r="A274" s="406" t="str">
        <f>'ведом 2024 пр.4'!A444</f>
        <v>Основное мероприятие "Организация общественных работ"</v>
      </c>
      <c r="B274" s="402"/>
      <c r="C274" s="402"/>
      <c r="D274" s="402"/>
      <c r="E274" s="403">
        <v>8160100000</v>
      </c>
      <c r="F274" s="402"/>
      <c r="G274" s="396"/>
      <c r="H274" s="405">
        <f>H275</f>
        <v>150</v>
      </c>
      <c r="I274" s="405">
        <f t="shared" si="81"/>
        <v>0</v>
      </c>
      <c r="J274" s="405">
        <f>J275</f>
        <v>150</v>
      </c>
      <c r="K274" s="405">
        <f t="shared" si="81"/>
        <v>0</v>
      </c>
      <c r="L274" s="405">
        <f t="shared" si="77"/>
        <v>0</v>
      </c>
      <c r="M274" s="405">
        <f t="shared" si="78"/>
        <v>0</v>
      </c>
    </row>
    <row r="275" spans="1:21" ht="30" x14ac:dyDescent="0.2">
      <c r="A275" s="408" t="s">
        <v>76</v>
      </c>
      <c r="B275" s="402"/>
      <c r="C275" s="402"/>
      <c r="D275" s="402"/>
      <c r="E275" s="403">
        <v>8160100000</v>
      </c>
      <c r="F275" s="402"/>
      <c r="G275" s="396">
        <v>939</v>
      </c>
      <c r="H275" s="405">
        <f>'ведом 2024 пр.4'!G444</f>
        <v>150</v>
      </c>
      <c r="I275" s="405">
        <f>'ведом 2024 пр.4'!H444</f>
        <v>0</v>
      </c>
      <c r="J275" s="405">
        <f>'ведом 2024 пр.4'!I444</f>
        <v>150</v>
      </c>
      <c r="K275" s="405">
        <f>'ведом 2024 пр.4'!J444</f>
        <v>0</v>
      </c>
      <c r="L275" s="405">
        <f t="shared" si="77"/>
        <v>0</v>
      </c>
      <c r="M275" s="405">
        <f t="shared" si="78"/>
        <v>0</v>
      </c>
    </row>
    <row r="276" spans="1:21" x14ac:dyDescent="0.2">
      <c r="A276" s="406" t="str">
        <f>'ведом 2024 пр.4'!A287</f>
        <v>Подпрограмма "Создание условий для экономического развития"</v>
      </c>
      <c r="B276" s="402"/>
      <c r="C276" s="402"/>
      <c r="D276" s="402"/>
      <c r="E276" s="403">
        <v>8170000000</v>
      </c>
      <c r="F276" s="402"/>
      <c r="G276" s="396"/>
      <c r="H276" s="405">
        <f>H277</f>
        <v>5970.2823699999999</v>
      </c>
      <c r="I276" s="405">
        <f t="shared" ref="I276:K277" si="82">I277</f>
        <v>0</v>
      </c>
      <c r="J276" s="405">
        <f>J277</f>
        <v>8438.3284600000006</v>
      </c>
      <c r="K276" s="405">
        <f t="shared" si="82"/>
        <v>0</v>
      </c>
      <c r="L276" s="405">
        <f t="shared" si="77"/>
        <v>2468.0460900000007</v>
      </c>
      <c r="M276" s="405">
        <f t="shared" si="78"/>
        <v>0</v>
      </c>
    </row>
    <row r="277" spans="1:21" x14ac:dyDescent="0.2">
      <c r="A277" s="406" t="str">
        <f>'ведом 2024 пр.4'!A288</f>
        <v>Основное мероприятие "Повышение качества управления финансами"</v>
      </c>
      <c r="B277" s="402"/>
      <c r="C277" s="402"/>
      <c r="D277" s="402"/>
      <c r="E277" s="403">
        <v>8170100000</v>
      </c>
      <c r="F277" s="396"/>
      <c r="G277" s="405"/>
      <c r="H277" s="405">
        <f>H278</f>
        <v>5970.2823699999999</v>
      </c>
      <c r="I277" s="405">
        <f t="shared" si="82"/>
        <v>0</v>
      </c>
      <c r="J277" s="405">
        <f>J278</f>
        <v>8438.3284600000006</v>
      </c>
      <c r="K277" s="405">
        <f t="shared" si="82"/>
        <v>0</v>
      </c>
      <c r="L277" s="405">
        <f t="shared" si="77"/>
        <v>2468.0460900000007</v>
      </c>
      <c r="M277" s="405">
        <f t="shared" si="78"/>
        <v>0</v>
      </c>
    </row>
    <row r="278" spans="1:21" ht="30" x14ac:dyDescent="0.2">
      <c r="A278" s="408" t="s">
        <v>76</v>
      </c>
      <c r="B278" s="402"/>
      <c r="C278" s="402"/>
      <c r="D278" s="402"/>
      <c r="E278" s="403">
        <v>8170100000</v>
      </c>
      <c r="F278" s="396">
        <v>939</v>
      </c>
      <c r="G278" s="396">
        <v>939</v>
      </c>
      <c r="H278" s="405">
        <f>'ведом 2024 пр.4'!G288</f>
        <v>5970.2823699999999</v>
      </c>
      <c r="I278" s="405">
        <f>'ведом 2024 пр.4'!H288</f>
        <v>0</v>
      </c>
      <c r="J278" s="405">
        <f>'ведом 2024 пр.4'!I288</f>
        <v>8438.3284600000006</v>
      </c>
      <c r="K278" s="405">
        <f>'ведом 2024 пр.4'!J288</f>
        <v>0</v>
      </c>
      <c r="L278" s="405">
        <f t="shared" si="77"/>
        <v>2468.0460900000007</v>
      </c>
      <c r="M278" s="405">
        <f t="shared" si="78"/>
        <v>0</v>
      </c>
    </row>
    <row r="279" spans="1:21" ht="28.5" x14ac:dyDescent="0.2">
      <c r="A279" s="555" t="s">
        <v>1297</v>
      </c>
      <c r="B279" s="402"/>
      <c r="C279" s="402"/>
      <c r="D279" s="402"/>
      <c r="E279" s="559">
        <v>8200000000</v>
      </c>
      <c r="F279" s="394"/>
      <c r="G279" s="561"/>
      <c r="H279" s="560">
        <f>H284+H289+H293+H298+H302+H308+H280+H291</f>
        <v>835</v>
      </c>
      <c r="I279" s="560">
        <f>I284+I289+I293+I298+I302+I308+I280+I291</f>
        <v>0</v>
      </c>
      <c r="J279" s="560">
        <f>J284+J289+J293+J298+J302+J308+J280+J291</f>
        <v>835</v>
      </c>
      <c r="K279" s="560">
        <f>K284+K289+K293+K298+K302+K308+K280+K291</f>
        <v>0</v>
      </c>
      <c r="L279" s="560">
        <f t="shared" si="77"/>
        <v>0</v>
      </c>
      <c r="M279" s="560">
        <f t="shared" si="78"/>
        <v>0</v>
      </c>
      <c r="N279" s="39">
        <f>H279-'ведом 2024 пр.4'!G2395</f>
        <v>0</v>
      </c>
      <c r="O279" s="39">
        <f>I279-'ведом 2024 пр.4'!H2395</f>
        <v>0</v>
      </c>
      <c r="P279" s="39">
        <f>J279-'ведом 2024 пр.4'!I2395</f>
        <v>0</v>
      </c>
      <c r="Q279" s="39">
        <f>K279-'ведом 2024 пр.4'!J2395</f>
        <v>0</v>
      </c>
      <c r="R279" s="39">
        <f>L279-'ведом 2024 пр.4'!K2395</f>
        <v>0</v>
      </c>
      <c r="S279" s="39"/>
      <c r="T279" s="39"/>
      <c r="U279" s="39"/>
    </row>
    <row r="280" spans="1:21" ht="30" x14ac:dyDescent="0.2">
      <c r="A280" s="406" t="str">
        <f>'ведом 2024 пр.4'!A1326</f>
        <v>Основное мероприятие "Осуществление полномочий в области использования автомобильных дорог и осуществление дорожной деятельности"</v>
      </c>
      <c r="B280" s="402"/>
      <c r="C280" s="402"/>
      <c r="D280" s="402"/>
      <c r="E280" s="403">
        <v>8200100000</v>
      </c>
      <c r="F280" s="402"/>
      <c r="G280" s="396"/>
      <c r="H280" s="429">
        <f t="shared" ref="H280:M280" si="83">H281+H282+H283</f>
        <v>20</v>
      </c>
      <c r="I280" s="429">
        <f t="shared" si="83"/>
        <v>0</v>
      </c>
      <c r="J280" s="429">
        <f t="shared" si="83"/>
        <v>20</v>
      </c>
      <c r="K280" s="429">
        <f t="shared" si="83"/>
        <v>0</v>
      </c>
      <c r="L280" s="429">
        <f t="shared" si="83"/>
        <v>0</v>
      </c>
      <c r="M280" s="429">
        <f t="shared" si="83"/>
        <v>0</v>
      </c>
    </row>
    <row r="281" spans="1:21" x14ac:dyDescent="0.2">
      <c r="A281" s="408" t="s">
        <v>74</v>
      </c>
      <c r="B281" s="402"/>
      <c r="C281" s="402"/>
      <c r="D281" s="402"/>
      <c r="E281" s="403">
        <v>8200100000</v>
      </c>
      <c r="F281" s="402"/>
      <c r="G281" s="396">
        <v>958</v>
      </c>
      <c r="H281" s="429">
        <f>'ведом 2024 пр.4'!G1176</f>
        <v>10</v>
      </c>
      <c r="I281" s="429">
        <f>'ведом 2024 пр.4'!H1176</f>
        <v>0</v>
      </c>
      <c r="J281" s="429">
        <f>'ведом 2024 пр.4'!I1176</f>
        <v>10</v>
      </c>
      <c r="K281" s="429">
        <f>'ведом 2024 пр.4'!J1176</f>
        <v>0</v>
      </c>
      <c r="L281" s="429">
        <f>'ведом 2024 пр.4'!K1176</f>
        <v>0</v>
      </c>
      <c r="M281" s="429">
        <f>'ведом 2024 пр.4'!L1176</f>
        <v>0</v>
      </c>
    </row>
    <row r="282" spans="1:21" x14ac:dyDescent="0.2">
      <c r="A282" s="408" t="s">
        <v>73</v>
      </c>
      <c r="B282" s="402"/>
      <c r="C282" s="402"/>
      <c r="D282" s="402"/>
      <c r="E282" s="403">
        <v>8200100000</v>
      </c>
      <c r="F282" s="402"/>
      <c r="G282" s="396">
        <v>959</v>
      </c>
      <c r="H282" s="429">
        <f>'ведом 2024 пр.4'!G1326</f>
        <v>10</v>
      </c>
      <c r="I282" s="429">
        <f>'ведом 2024 пр.4'!H1326</f>
        <v>0</v>
      </c>
      <c r="J282" s="429">
        <f>'ведом 2024 пр.4'!I1326</f>
        <v>10</v>
      </c>
      <c r="K282" s="429">
        <f>'ведом 2024 пр.4'!J1326</f>
        <v>0</v>
      </c>
      <c r="L282" s="429">
        <f>'ведом 2024 пр.4'!K1326</f>
        <v>0</v>
      </c>
      <c r="M282" s="429">
        <f>'ведом 2024 пр.4'!L1326</f>
        <v>0</v>
      </c>
    </row>
    <row r="283" spans="1:21" ht="30" hidden="1" x14ac:dyDescent="0.2">
      <c r="A283" s="408" t="s">
        <v>228</v>
      </c>
      <c r="B283" s="402"/>
      <c r="C283" s="402"/>
      <c r="D283" s="402"/>
      <c r="E283" s="403">
        <v>8200100000</v>
      </c>
      <c r="F283" s="402"/>
      <c r="G283" s="396">
        <v>961</v>
      </c>
      <c r="H283" s="429">
        <f>'ведом 2024 пр.4'!G1904</f>
        <v>0</v>
      </c>
      <c r="I283" s="429">
        <f>'ведом 2024 пр.4'!H1904</f>
        <v>0</v>
      </c>
      <c r="J283" s="429">
        <f>'ведом 2024 пр.4'!I1904</f>
        <v>0</v>
      </c>
      <c r="K283" s="429">
        <f>'ведом 2024 пр.4'!J1904</f>
        <v>0</v>
      </c>
      <c r="L283" s="429">
        <f>'ведом 2024 пр.4'!K1904</f>
        <v>0</v>
      </c>
      <c r="M283" s="429">
        <f>'ведом 2024 пр.4'!L1904</f>
        <v>0</v>
      </c>
    </row>
    <row r="284" spans="1:21" x14ac:dyDescent="0.2">
      <c r="A284" s="408" t="str">
        <f>'ведом 2024 пр.4'!A505</f>
        <v>Основное мероприятие "Профилактика терроризма и экстремизма "</v>
      </c>
      <c r="B284" s="402"/>
      <c r="C284" s="402"/>
      <c r="D284" s="402"/>
      <c r="E284" s="403">
        <v>8200200000</v>
      </c>
      <c r="F284" s="402"/>
      <c r="G284" s="396"/>
      <c r="H284" s="429">
        <f t="shared" ref="H284:M284" si="84">H285+H286+H287+H288</f>
        <v>110</v>
      </c>
      <c r="I284" s="429">
        <f t="shared" si="84"/>
        <v>0</v>
      </c>
      <c r="J284" s="429">
        <f t="shared" si="84"/>
        <v>110</v>
      </c>
      <c r="K284" s="429">
        <f t="shared" si="84"/>
        <v>0</v>
      </c>
      <c r="L284" s="429">
        <f t="shared" si="84"/>
        <v>0</v>
      </c>
      <c r="M284" s="429">
        <f t="shared" si="84"/>
        <v>0</v>
      </c>
    </row>
    <row r="285" spans="1:21" ht="27" hidden="1" customHeight="1" x14ac:dyDescent="0.2">
      <c r="A285" s="408" t="s">
        <v>76</v>
      </c>
      <c r="B285" s="402"/>
      <c r="C285" s="402"/>
      <c r="D285" s="402"/>
      <c r="E285" s="403">
        <v>8200200000</v>
      </c>
      <c r="F285" s="402"/>
      <c r="G285" s="396">
        <v>939</v>
      </c>
      <c r="H285" s="429">
        <f>'ведом 2024 пр.4'!G455+'ведом 2024 пр.4'!G506</f>
        <v>0</v>
      </c>
      <c r="I285" s="429">
        <f>'ведом 2024 пр.4'!H455+'ведом 2024 пр.4'!H506</f>
        <v>0</v>
      </c>
      <c r="J285" s="429">
        <f>'ведом 2024 пр.4'!I455+'ведом 2024 пр.4'!I506</f>
        <v>0</v>
      </c>
      <c r="K285" s="429">
        <f>'ведом 2024 пр.4'!J455+'ведом 2024 пр.4'!J506</f>
        <v>0</v>
      </c>
      <c r="L285" s="429">
        <f>'ведом 2024 пр.4'!K455+'ведом 2024 пр.4'!K506</f>
        <v>0</v>
      </c>
      <c r="M285" s="429">
        <f>'ведом 2024 пр.4'!L455+'ведом 2024 пр.4'!L506</f>
        <v>0</v>
      </c>
    </row>
    <row r="286" spans="1:21" x14ac:dyDescent="0.2">
      <c r="A286" s="408" t="s">
        <v>74</v>
      </c>
      <c r="B286" s="402"/>
      <c r="C286" s="402"/>
      <c r="D286" s="402"/>
      <c r="E286" s="403">
        <v>8200200000</v>
      </c>
      <c r="F286" s="402"/>
      <c r="G286" s="396">
        <v>958</v>
      </c>
      <c r="H286" s="429">
        <f>'ведом 2024 пр.4'!G1179</f>
        <v>5</v>
      </c>
      <c r="I286" s="429">
        <f>'ведом 2024 пр.4'!H1179</f>
        <v>0</v>
      </c>
      <c r="J286" s="429">
        <f>'ведом 2024 пр.4'!I1179</f>
        <v>5</v>
      </c>
      <c r="K286" s="429">
        <f>'ведом 2024 пр.4'!J1179</f>
        <v>0</v>
      </c>
      <c r="L286" s="429">
        <f>'ведом 2024 пр.4'!K1179</f>
        <v>0</v>
      </c>
      <c r="M286" s="429">
        <f>'ведом 2024 пр.4'!L1179</f>
        <v>0</v>
      </c>
    </row>
    <row r="287" spans="1:21" x14ac:dyDescent="0.2">
      <c r="A287" s="408" t="s">
        <v>73</v>
      </c>
      <c r="B287" s="402"/>
      <c r="C287" s="402"/>
      <c r="D287" s="402"/>
      <c r="E287" s="403">
        <v>8200200000</v>
      </c>
      <c r="F287" s="402"/>
      <c r="G287" s="396">
        <v>959</v>
      </c>
      <c r="H287" s="429">
        <f>'ведом 2024 пр.4'!G1329</f>
        <v>100</v>
      </c>
      <c r="I287" s="429">
        <f>'ведом 2024 пр.4'!H1329</f>
        <v>0</v>
      </c>
      <c r="J287" s="429">
        <f>'ведом 2024 пр.4'!I1329</f>
        <v>100</v>
      </c>
      <c r="K287" s="429">
        <f>'ведом 2024 пр.4'!J1329</f>
        <v>0</v>
      </c>
      <c r="L287" s="429">
        <f>'ведом 2024 пр.4'!K1329</f>
        <v>0</v>
      </c>
      <c r="M287" s="429">
        <f>'ведом 2024 пр.4'!L1329</f>
        <v>0</v>
      </c>
    </row>
    <row r="288" spans="1:21" ht="30" x14ac:dyDescent="0.2">
      <c r="A288" s="408" t="s">
        <v>972</v>
      </c>
      <c r="B288" s="402"/>
      <c r="C288" s="402"/>
      <c r="D288" s="402"/>
      <c r="E288" s="403">
        <v>8200200000</v>
      </c>
      <c r="F288" s="402"/>
      <c r="G288" s="396">
        <v>979</v>
      </c>
      <c r="H288" s="429">
        <f>'ведом 2024 пр.4'!G2249</f>
        <v>5</v>
      </c>
      <c r="I288" s="429">
        <f>'ведом 2024 пр.4'!H2249</f>
        <v>0</v>
      </c>
      <c r="J288" s="429">
        <f>'ведом 2024 пр.4'!I2249</f>
        <v>5</v>
      </c>
      <c r="K288" s="429">
        <f>'ведом 2024 пр.4'!J2249</f>
        <v>0</v>
      </c>
      <c r="L288" s="429">
        <f>'ведом 2024 пр.4'!K2249</f>
        <v>0</v>
      </c>
      <c r="M288" s="429">
        <f>'ведом 2024 пр.4'!L2249</f>
        <v>0</v>
      </c>
    </row>
    <row r="289" spans="1:13" x14ac:dyDescent="0.2">
      <c r="A289" s="406" t="str">
        <f>'ведом 2024 пр.4'!A1333</f>
        <v>Основное мероприятие "Предупреждение и ликвидация последствий чрезвычайных ситуаций на территории района"</v>
      </c>
      <c r="B289" s="431"/>
      <c r="C289" s="431"/>
      <c r="D289" s="431"/>
      <c r="E289" s="403">
        <v>8200300000</v>
      </c>
      <c r="F289" s="431"/>
      <c r="G289" s="396"/>
      <c r="H289" s="429">
        <f t="shared" ref="H289:M289" si="85">H290</f>
        <v>10</v>
      </c>
      <c r="I289" s="429">
        <f t="shared" si="85"/>
        <v>0</v>
      </c>
      <c r="J289" s="429">
        <f t="shared" si="85"/>
        <v>10</v>
      </c>
      <c r="K289" s="429">
        <f t="shared" si="85"/>
        <v>0</v>
      </c>
      <c r="L289" s="429">
        <f t="shared" si="85"/>
        <v>0</v>
      </c>
      <c r="M289" s="429">
        <f t="shared" si="85"/>
        <v>0</v>
      </c>
    </row>
    <row r="290" spans="1:13" x14ac:dyDescent="0.2">
      <c r="A290" s="408" t="s">
        <v>73</v>
      </c>
      <c r="B290" s="431"/>
      <c r="C290" s="431"/>
      <c r="D290" s="431"/>
      <c r="E290" s="403">
        <v>8200300000</v>
      </c>
      <c r="F290" s="431"/>
      <c r="G290" s="396">
        <v>959</v>
      </c>
      <c r="H290" s="429">
        <f>'ведом 2024 пр.4'!G1333</f>
        <v>10</v>
      </c>
      <c r="I290" s="429">
        <f>'ведом 2024 пр.4'!H1333</f>
        <v>0</v>
      </c>
      <c r="J290" s="429">
        <f>'ведом 2024 пр.4'!I1333</f>
        <v>10</v>
      </c>
      <c r="K290" s="429">
        <f>'ведом 2024 пр.4'!J1333</f>
        <v>0</v>
      </c>
      <c r="L290" s="429">
        <f>'ведом 2024 пр.4'!K1333</f>
        <v>0</v>
      </c>
      <c r="M290" s="429">
        <f>'ведом 2024 пр.4'!L1333</f>
        <v>0</v>
      </c>
    </row>
    <row r="291" spans="1:13" ht="42.75" hidden="1" customHeight="1" x14ac:dyDescent="0.2">
      <c r="A291" s="406" t="str">
        <f>'ведом 2024 пр.4'!A1771</f>
        <v xml:space="preserve">          Основное мероприятие "Предоставление помещения для работы на обслуживаемом административном участке сотруднику, замещающему должность участкового уполномоченного полиции"</v>
      </c>
      <c r="B291" s="431"/>
      <c r="C291" s="431"/>
      <c r="D291" s="431"/>
      <c r="E291" s="403">
        <v>8200400000</v>
      </c>
      <c r="F291" s="431"/>
      <c r="G291" s="396"/>
      <c r="H291" s="405">
        <f t="shared" ref="H291:M291" si="86">H292</f>
        <v>0</v>
      </c>
      <c r="I291" s="405">
        <f t="shared" si="86"/>
        <v>0</v>
      </c>
      <c r="J291" s="405">
        <f t="shared" si="86"/>
        <v>0</v>
      </c>
      <c r="K291" s="405">
        <f t="shared" si="86"/>
        <v>0</v>
      </c>
      <c r="L291" s="405">
        <f t="shared" si="86"/>
        <v>0</v>
      </c>
      <c r="M291" s="405">
        <f t="shared" si="86"/>
        <v>0</v>
      </c>
    </row>
    <row r="292" spans="1:13" ht="34.5" hidden="1" customHeight="1" x14ac:dyDescent="0.2">
      <c r="A292" s="408" t="s">
        <v>228</v>
      </c>
      <c r="B292" s="431"/>
      <c r="C292" s="431"/>
      <c r="D292" s="431"/>
      <c r="E292" s="403">
        <v>8200400000</v>
      </c>
      <c r="F292" s="431"/>
      <c r="G292" s="396">
        <v>961</v>
      </c>
      <c r="H292" s="405">
        <f>'ведом 2024 пр.4'!G1771</f>
        <v>0</v>
      </c>
      <c r="I292" s="405">
        <f>'ведом 2024 пр.4'!H1771</f>
        <v>0</v>
      </c>
      <c r="J292" s="405">
        <f>'ведом 2024 пр.4'!I1771</f>
        <v>0</v>
      </c>
      <c r="K292" s="405">
        <f>'ведом 2024 пр.4'!J1771</f>
        <v>0</v>
      </c>
      <c r="L292" s="405">
        <f>'ведом 2024 пр.4'!K1771</f>
        <v>0</v>
      </c>
      <c r="M292" s="405">
        <f>'ведом 2024 пр.4'!L1771</f>
        <v>0</v>
      </c>
    </row>
    <row r="293" spans="1:13" ht="30" x14ac:dyDescent="0.2">
      <c r="A293" s="408" t="str">
        <f>'ведом 2024 пр.4'!A669</f>
        <v>Основное мероприятие "Пропаганда здорового образа жизни, правовое, культурное, спортивное, нравственное и военно-патриотическое воспитание граждан"</v>
      </c>
      <c r="B293" s="402"/>
      <c r="C293" s="402"/>
      <c r="D293" s="402"/>
      <c r="E293" s="403">
        <v>8200500000</v>
      </c>
      <c r="F293" s="402"/>
      <c r="G293" s="396"/>
      <c r="H293" s="429">
        <f t="shared" ref="H293:M293" si="87">H294+H295+H296+H297</f>
        <v>75</v>
      </c>
      <c r="I293" s="429">
        <f t="shared" si="87"/>
        <v>0</v>
      </c>
      <c r="J293" s="429">
        <f t="shared" si="87"/>
        <v>75</v>
      </c>
      <c r="K293" s="429">
        <f t="shared" si="87"/>
        <v>0</v>
      </c>
      <c r="L293" s="429">
        <f t="shared" si="87"/>
        <v>0</v>
      </c>
      <c r="M293" s="429">
        <f t="shared" si="87"/>
        <v>0</v>
      </c>
    </row>
    <row r="294" spans="1:13" x14ac:dyDescent="0.2">
      <c r="A294" s="408" t="s">
        <v>227</v>
      </c>
      <c r="B294" s="402"/>
      <c r="C294" s="402"/>
      <c r="D294" s="402"/>
      <c r="E294" s="403">
        <v>8200500000</v>
      </c>
      <c r="F294" s="402"/>
      <c r="G294" s="396">
        <v>957</v>
      </c>
      <c r="H294" s="429">
        <f>'ведом 2024 пр.4'!G669</f>
        <v>10</v>
      </c>
      <c r="I294" s="429">
        <f>'ведом 2024 пр.4'!H669</f>
        <v>0</v>
      </c>
      <c r="J294" s="429">
        <f>'ведом 2024 пр.4'!I669</f>
        <v>10</v>
      </c>
      <c r="K294" s="429">
        <f>'ведом 2024 пр.4'!J669</f>
        <v>0</v>
      </c>
      <c r="L294" s="429">
        <f>'ведом 2024 пр.4'!K669</f>
        <v>0</v>
      </c>
      <c r="M294" s="429">
        <f>'ведом 2024 пр.4'!L669</f>
        <v>0</v>
      </c>
    </row>
    <row r="295" spans="1:13" x14ac:dyDescent="0.2">
      <c r="A295" s="408" t="s">
        <v>74</v>
      </c>
      <c r="B295" s="402"/>
      <c r="C295" s="402"/>
      <c r="D295" s="402"/>
      <c r="E295" s="403">
        <v>8200500000</v>
      </c>
      <c r="F295" s="402"/>
      <c r="G295" s="396">
        <v>958</v>
      </c>
      <c r="H295" s="429">
        <f>'ведом 2024 пр.4'!G1182+'ведом 2024 пр.4'!G1055</f>
        <v>60</v>
      </c>
      <c r="I295" s="429">
        <f>'ведом 2024 пр.4'!H1182+'ведом 2024 пр.4'!H1055</f>
        <v>0</v>
      </c>
      <c r="J295" s="429">
        <f>'ведом 2024 пр.4'!I1182+'ведом 2024 пр.4'!I1055</f>
        <v>60</v>
      </c>
      <c r="K295" s="429">
        <f>'ведом 2024 пр.4'!J1182+'ведом 2024 пр.4'!J1055</f>
        <v>0</v>
      </c>
      <c r="L295" s="429">
        <f>'ведом 2024 пр.4'!K1182+'ведом 2024 пр.4'!K1055</f>
        <v>0</v>
      </c>
      <c r="M295" s="429">
        <f>'ведом 2024 пр.4'!L1182+'ведом 2024 пр.4'!L1055</f>
        <v>0</v>
      </c>
    </row>
    <row r="296" spans="1:13" ht="15" hidden="1" customHeight="1" x14ac:dyDescent="0.2">
      <c r="A296" s="408" t="s">
        <v>73</v>
      </c>
      <c r="B296" s="431"/>
      <c r="C296" s="431"/>
      <c r="D296" s="431"/>
      <c r="E296" s="403">
        <v>8200500000</v>
      </c>
      <c r="F296" s="431"/>
      <c r="G296" s="396">
        <v>959</v>
      </c>
      <c r="H296" s="429">
        <f>'ведом 2024 пр.4'!G1336</f>
        <v>0</v>
      </c>
      <c r="I296" s="429">
        <f>'ведом 2024 пр.4'!H1336</f>
        <v>0</v>
      </c>
      <c r="J296" s="429">
        <f>'ведом 2024 пр.4'!I1336</f>
        <v>0</v>
      </c>
      <c r="K296" s="429">
        <f>'ведом 2024 пр.4'!J1336</f>
        <v>0</v>
      </c>
      <c r="L296" s="429">
        <f>'ведом 2024 пр.4'!K1336</f>
        <v>0</v>
      </c>
      <c r="M296" s="429">
        <f>'ведом 2024 пр.4'!L1336</f>
        <v>0</v>
      </c>
    </row>
    <row r="297" spans="1:13" ht="30" customHeight="1" x14ac:dyDescent="0.2">
      <c r="A297" s="408" t="s">
        <v>972</v>
      </c>
      <c r="B297" s="431"/>
      <c r="C297" s="431"/>
      <c r="D297" s="431"/>
      <c r="E297" s="403">
        <v>8200500000</v>
      </c>
      <c r="F297" s="431"/>
      <c r="G297" s="396">
        <v>979</v>
      </c>
      <c r="H297" s="405">
        <f>'ведом 2024 пр.4'!G2252</f>
        <v>5</v>
      </c>
      <c r="I297" s="405">
        <f>'ведом 2024 пр.4'!H2252</f>
        <v>0</v>
      </c>
      <c r="J297" s="405">
        <f>'ведом 2024 пр.4'!I2252</f>
        <v>5</v>
      </c>
      <c r="K297" s="405">
        <f>'ведом 2024 пр.4'!J2252</f>
        <v>0</v>
      </c>
      <c r="L297" s="405">
        <f>'ведом 2024 пр.4'!K2252</f>
        <v>0</v>
      </c>
      <c r="M297" s="405">
        <f>'ведом 2024 пр.4'!L2252</f>
        <v>0</v>
      </c>
    </row>
    <row r="298" spans="1:13" x14ac:dyDescent="0.2">
      <c r="A298" s="408" t="s">
        <v>364</v>
      </c>
      <c r="B298" s="402"/>
      <c r="C298" s="402"/>
      <c r="D298" s="402"/>
      <c r="E298" s="403">
        <v>8200600000</v>
      </c>
      <c r="F298" s="402"/>
      <c r="G298" s="396"/>
      <c r="H298" s="429">
        <f>H299+H300+H301</f>
        <v>110</v>
      </c>
      <c r="I298" s="429">
        <f t="shared" ref="I298:M298" si="88">I299+I300+I301</f>
        <v>0</v>
      </c>
      <c r="J298" s="429">
        <f t="shared" si="88"/>
        <v>110</v>
      </c>
      <c r="K298" s="429">
        <f t="shared" si="88"/>
        <v>0</v>
      </c>
      <c r="L298" s="429">
        <f t="shared" si="88"/>
        <v>0</v>
      </c>
      <c r="M298" s="429">
        <f t="shared" si="88"/>
        <v>0</v>
      </c>
    </row>
    <row r="299" spans="1:13" ht="30" x14ac:dyDescent="0.2">
      <c r="A299" s="408" t="s">
        <v>973</v>
      </c>
      <c r="B299" s="402"/>
      <c r="C299" s="402"/>
      <c r="D299" s="402"/>
      <c r="E299" s="403">
        <v>8200600000</v>
      </c>
      <c r="F299" s="402"/>
      <c r="G299" s="396">
        <v>922</v>
      </c>
      <c r="H299" s="429">
        <f>'ведом 2024 пр.4'!G105+'ведом 2024 пр.4'!G186</f>
        <v>90</v>
      </c>
      <c r="I299" s="429">
        <f>'ведом 2024 пр.4'!H105+'ведом 2024 пр.4'!H186</f>
        <v>0</v>
      </c>
      <c r="J299" s="429">
        <f>'ведом 2024 пр.4'!I105+'ведом 2024 пр.4'!I186</f>
        <v>80</v>
      </c>
      <c r="K299" s="429">
        <f>'ведом 2024 пр.4'!J105+'ведом 2024 пр.4'!J186</f>
        <v>0</v>
      </c>
      <c r="L299" s="429">
        <f>'ведом 2024 пр.4'!K105+'ведом 2024 пр.4'!K186</f>
        <v>-10</v>
      </c>
      <c r="M299" s="429">
        <f>'ведом 2024 пр.4'!L105+'ведом 2024 пр.4'!L186</f>
        <v>0</v>
      </c>
    </row>
    <row r="300" spans="1:13" x14ac:dyDescent="0.2">
      <c r="A300" s="408" t="s">
        <v>74</v>
      </c>
      <c r="B300" s="402"/>
      <c r="C300" s="402"/>
      <c r="D300" s="402"/>
      <c r="E300" s="403">
        <v>8200600000</v>
      </c>
      <c r="F300" s="402"/>
      <c r="G300" s="396">
        <v>958</v>
      </c>
      <c r="H300" s="429">
        <f>'ведом 2024 пр.4'!G1186</f>
        <v>20</v>
      </c>
      <c r="I300" s="429">
        <f>'ведом 2024 пр.4'!H1186</f>
        <v>0</v>
      </c>
      <c r="J300" s="429">
        <f>'ведом 2024 пр.4'!I1186</f>
        <v>20</v>
      </c>
      <c r="K300" s="429">
        <f>'ведом 2024 пр.4'!J1186</f>
        <v>0</v>
      </c>
      <c r="L300" s="429">
        <f>'ведом 2024 пр.4'!K1186</f>
        <v>0</v>
      </c>
      <c r="M300" s="429">
        <f>'ведом 2024 пр.4'!L1186</f>
        <v>0</v>
      </c>
    </row>
    <row r="301" spans="1:13" ht="30" x14ac:dyDescent="0.2">
      <c r="A301" s="408" t="s">
        <v>972</v>
      </c>
      <c r="B301" s="402"/>
      <c r="C301" s="402"/>
      <c r="D301" s="402"/>
      <c r="E301" s="403">
        <v>8200600000</v>
      </c>
      <c r="F301" s="402"/>
      <c r="G301" s="396">
        <v>979</v>
      </c>
      <c r="H301" s="429">
        <f>'ведом 2024 пр.4'!G2255</f>
        <v>0</v>
      </c>
      <c r="I301" s="429">
        <f>'ведом 2024 пр.4'!H2255</f>
        <v>0</v>
      </c>
      <c r="J301" s="429">
        <f>'ведом 2024 пр.4'!I2255</f>
        <v>10</v>
      </c>
      <c r="K301" s="429">
        <f>'ведом 2024 пр.4'!J2255</f>
        <v>0</v>
      </c>
      <c r="L301" s="429">
        <f>'ведом 2024 пр.4'!K2255</f>
        <v>10</v>
      </c>
      <c r="M301" s="429">
        <f>'ведом 2024 пр.4'!L2255</f>
        <v>0</v>
      </c>
    </row>
    <row r="302" spans="1:13" x14ac:dyDescent="0.2">
      <c r="A302" s="408" t="str">
        <f>'ведом 2024 пр.4'!A1189</f>
        <v>Основное мероприятие "Мероприятия по работе с детьми и молодежью"</v>
      </c>
      <c r="B302" s="402"/>
      <c r="C302" s="402"/>
      <c r="D302" s="402"/>
      <c r="E302" s="403">
        <v>8200700000</v>
      </c>
      <c r="F302" s="402"/>
      <c r="G302" s="396"/>
      <c r="H302" s="429">
        <f t="shared" ref="H302:M302" si="89">SUM(H303:H307)</f>
        <v>364</v>
      </c>
      <c r="I302" s="429">
        <f t="shared" si="89"/>
        <v>0</v>
      </c>
      <c r="J302" s="429">
        <f t="shared" si="89"/>
        <v>364</v>
      </c>
      <c r="K302" s="429">
        <f t="shared" si="89"/>
        <v>0</v>
      </c>
      <c r="L302" s="429">
        <f t="shared" si="89"/>
        <v>0</v>
      </c>
      <c r="M302" s="429">
        <f t="shared" si="89"/>
        <v>0</v>
      </c>
    </row>
    <row r="303" spans="1:13" ht="27" hidden="1" customHeight="1" x14ac:dyDescent="0.2">
      <c r="A303" s="408" t="s">
        <v>75</v>
      </c>
      <c r="B303" s="402"/>
      <c r="C303" s="402"/>
      <c r="D303" s="402"/>
      <c r="E303" s="403">
        <v>8200700000</v>
      </c>
      <c r="F303" s="402"/>
      <c r="G303" s="396">
        <v>931</v>
      </c>
      <c r="H303" s="429">
        <f>'ведом 2024 пр.4'!G235</f>
        <v>0</v>
      </c>
      <c r="I303" s="429">
        <f>'ведом 2024 пр.4'!H235</f>
        <v>0</v>
      </c>
      <c r="J303" s="429">
        <f>'ведом 2024 пр.4'!I235</f>
        <v>0</v>
      </c>
      <c r="K303" s="429">
        <f>'ведом 2024 пр.4'!J235</f>
        <v>0</v>
      </c>
      <c r="L303" s="429">
        <f>'ведом 2024 пр.4'!K235</f>
        <v>0</v>
      </c>
      <c r="M303" s="429">
        <f>'ведом 2024 пр.4'!L235</f>
        <v>0</v>
      </c>
    </row>
    <row r="304" spans="1:13" x14ac:dyDescent="0.2">
      <c r="A304" s="408" t="s">
        <v>73</v>
      </c>
      <c r="B304" s="431"/>
      <c r="C304" s="431"/>
      <c r="D304" s="431"/>
      <c r="E304" s="403">
        <v>8200700000</v>
      </c>
      <c r="F304" s="431"/>
      <c r="G304" s="396">
        <v>959</v>
      </c>
      <c r="H304" s="429">
        <f>'ведом 2024 пр.4'!G1339</f>
        <v>20</v>
      </c>
      <c r="I304" s="429">
        <f>'ведом 2024 пр.4'!H1339</f>
        <v>0</v>
      </c>
      <c r="J304" s="429">
        <f>'ведом 2024 пр.4'!I1339</f>
        <v>20</v>
      </c>
      <c r="K304" s="429">
        <f>'ведом 2024 пр.4'!J1339</f>
        <v>0</v>
      </c>
      <c r="L304" s="429">
        <f>'ведом 2024 пр.4'!K1339</f>
        <v>0</v>
      </c>
      <c r="M304" s="429">
        <f>'ведом 2024 пр.4'!L1339</f>
        <v>0</v>
      </c>
    </row>
    <row r="305" spans="1:20" ht="27" customHeight="1" x14ac:dyDescent="0.2">
      <c r="A305" s="408" t="s">
        <v>76</v>
      </c>
      <c r="B305" s="402"/>
      <c r="C305" s="402"/>
      <c r="D305" s="402"/>
      <c r="E305" s="403">
        <v>8200700000</v>
      </c>
      <c r="F305" s="402"/>
      <c r="G305" s="396">
        <v>939</v>
      </c>
      <c r="H305" s="429">
        <f>'ведом 2024 пр.4'!G511+'ведом 2024 пр.4'!G323</f>
        <v>19.9102</v>
      </c>
      <c r="I305" s="429">
        <f>'ведом 2024 пр.4'!H511+'ведом 2024 пр.4'!H323</f>
        <v>0</v>
      </c>
      <c r="J305" s="429">
        <f>'ведом 2024 пр.4'!I511+'ведом 2024 пр.4'!I323</f>
        <v>19.9102</v>
      </c>
      <c r="K305" s="429">
        <f>'ведом 2024 пр.4'!J511+'ведом 2024 пр.4'!J323</f>
        <v>0</v>
      </c>
      <c r="L305" s="429">
        <f>'ведом 2024 пр.4'!K511+'ведом 2024 пр.4'!K323</f>
        <v>0</v>
      </c>
      <c r="M305" s="429">
        <f>'ведом 2024 пр.4'!L511+'ведом 2024 пр.4'!L323</f>
        <v>0</v>
      </c>
    </row>
    <row r="306" spans="1:20" x14ac:dyDescent="0.2">
      <c r="A306" s="408" t="s">
        <v>74</v>
      </c>
      <c r="B306" s="402"/>
      <c r="C306" s="402"/>
      <c r="D306" s="402"/>
      <c r="E306" s="403">
        <v>8200700000</v>
      </c>
      <c r="F306" s="402"/>
      <c r="G306" s="396">
        <v>958</v>
      </c>
      <c r="H306" s="429">
        <f>'ведом 2024 пр.4'!G979+'ведом 2024 пр.4'!G1189+'ведом 2024 пр.4'!G1094</f>
        <v>320.08979999999997</v>
      </c>
      <c r="I306" s="429">
        <f>'ведом 2024 пр.4'!H979+'ведом 2024 пр.4'!H1189+'ведом 2024 пр.4'!H1094</f>
        <v>0</v>
      </c>
      <c r="J306" s="429">
        <f>'ведом 2024 пр.4'!I979+'ведом 2024 пр.4'!I1189+'ведом 2024 пр.4'!I1094</f>
        <v>320.08980000000003</v>
      </c>
      <c r="K306" s="429">
        <f>'ведом 2024 пр.4'!J979+'ведом 2024 пр.4'!J1189+'ведом 2024 пр.4'!J1094</f>
        <v>0</v>
      </c>
      <c r="L306" s="429">
        <f>'ведом 2024 пр.4'!K979+'ведом 2024 пр.4'!K1189+'ведом 2024 пр.4'!K1094</f>
        <v>0</v>
      </c>
      <c r="M306" s="429">
        <f>'ведом 2024 пр.4'!L979+'ведом 2024 пр.4'!L1189+'ведом 2024 пр.4'!L1094</f>
        <v>0</v>
      </c>
    </row>
    <row r="307" spans="1:20" ht="31.5" customHeight="1" x14ac:dyDescent="0.2">
      <c r="A307" s="408" t="s">
        <v>972</v>
      </c>
      <c r="B307" s="402"/>
      <c r="C307" s="402"/>
      <c r="D307" s="402"/>
      <c r="E307" s="403">
        <v>8200700000</v>
      </c>
      <c r="F307" s="402"/>
      <c r="G307" s="396">
        <v>979</v>
      </c>
      <c r="H307" s="429">
        <f>'ведом 2024 пр.4'!G2258</f>
        <v>4</v>
      </c>
      <c r="I307" s="429">
        <f>'ведом 2024 пр.4'!H2258</f>
        <v>0</v>
      </c>
      <c r="J307" s="429">
        <f>'ведом 2024 пр.4'!I2258</f>
        <v>4</v>
      </c>
      <c r="K307" s="429">
        <f>'ведом 2024 пр.4'!J2258</f>
        <v>0</v>
      </c>
      <c r="L307" s="429">
        <f>'ведом 2024 пр.4'!K2258</f>
        <v>0</v>
      </c>
      <c r="M307" s="429">
        <f>'ведом 2024 пр.4'!L2258</f>
        <v>0</v>
      </c>
    </row>
    <row r="308" spans="1:20" ht="30" x14ac:dyDescent="0.2">
      <c r="A308" s="408" t="str">
        <f>'ведом 2024 пр.4'!A514</f>
        <v>Основное мероприятие "Оказание поддержки гражданам и их объединениям, участвующим в охране общественного порядка, создание условий для деятельности народных дружин"</v>
      </c>
      <c r="B308" s="402"/>
      <c r="C308" s="402"/>
      <c r="D308" s="402"/>
      <c r="E308" s="403">
        <v>8200800000</v>
      </c>
      <c r="F308" s="402"/>
      <c r="G308" s="396"/>
      <c r="H308" s="429">
        <f t="shared" ref="H308:M308" si="90">H309+H310</f>
        <v>146</v>
      </c>
      <c r="I308" s="429">
        <f t="shared" si="90"/>
        <v>0</v>
      </c>
      <c r="J308" s="429">
        <f t="shared" si="90"/>
        <v>146</v>
      </c>
      <c r="K308" s="429">
        <f t="shared" si="90"/>
        <v>0</v>
      </c>
      <c r="L308" s="429">
        <f t="shared" si="90"/>
        <v>0</v>
      </c>
      <c r="M308" s="429">
        <f t="shared" si="90"/>
        <v>0</v>
      </c>
    </row>
    <row r="309" spans="1:20" ht="30" x14ac:dyDescent="0.2">
      <c r="A309" s="408" t="s">
        <v>76</v>
      </c>
      <c r="B309" s="402"/>
      <c r="C309" s="402"/>
      <c r="D309" s="402"/>
      <c r="E309" s="403">
        <v>8200800000</v>
      </c>
      <c r="F309" s="402"/>
      <c r="G309" s="396">
        <v>939</v>
      </c>
      <c r="H309" s="429">
        <f>'ведом 2024 пр.4'!G326</f>
        <v>120</v>
      </c>
      <c r="I309" s="429">
        <f>'ведом 2024 пр.4'!H326</f>
        <v>0</v>
      </c>
      <c r="J309" s="429">
        <f>'ведом 2024 пр.4'!I326</f>
        <v>120</v>
      </c>
      <c r="K309" s="429">
        <f>'ведом 2024 пр.4'!J326</f>
        <v>0</v>
      </c>
      <c r="L309" s="429">
        <f>'ведом 2024 пр.4'!K326</f>
        <v>0</v>
      </c>
      <c r="M309" s="429">
        <f>'ведом 2024 пр.4'!L326</f>
        <v>0</v>
      </c>
      <c r="N309" s="160" t="s">
        <v>1769</v>
      </c>
    </row>
    <row r="310" spans="1:20" x14ac:dyDescent="0.2">
      <c r="A310" s="408" t="s">
        <v>73</v>
      </c>
      <c r="B310" s="431"/>
      <c r="C310" s="431"/>
      <c r="D310" s="431"/>
      <c r="E310" s="403">
        <v>8200800000</v>
      </c>
      <c r="F310" s="431"/>
      <c r="G310" s="396">
        <v>959</v>
      </c>
      <c r="H310" s="429">
        <f>'ведом 2024 пр.4'!G1342+'ведом 2024 пр.4'!G1624+'ведом 2024 пр.4'!G1550</f>
        <v>26</v>
      </c>
      <c r="I310" s="429">
        <f>'ведом 2024 пр.4'!H1342+'ведом 2024 пр.4'!H1624+'ведом 2024 пр.4'!H1550</f>
        <v>0</v>
      </c>
      <c r="J310" s="429">
        <f>'ведом 2024 пр.4'!I1342+'ведом 2024 пр.4'!I1624+'ведом 2024 пр.4'!I1550</f>
        <v>26</v>
      </c>
      <c r="K310" s="429">
        <f>'ведом 2024 пр.4'!J1342+'ведом 2024 пр.4'!J1624+'ведом 2024 пр.4'!J1550</f>
        <v>0</v>
      </c>
      <c r="L310" s="429">
        <f>'ведом 2024 пр.4'!K1342+'ведом 2024 пр.4'!K1624+'ведом 2024 пр.4'!K1550</f>
        <v>0</v>
      </c>
      <c r="M310" s="429">
        <f>'ведом 2024 пр.4'!L1342+'ведом 2024 пр.4'!L1624+'ведом 2024 пр.4'!L1550</f>
        <v>0</v>
      </c>
    </row>
    <row r="311" spans="1:20" x14ac:dyDescent="0.2">
      <c r="A311" s="562" t="str">
        <f>'ведом 2024 пр.4'!A1464</f>
        <v>Муниципальная программа "Формирование комфортной городской среды на 2018-2024 годы"</v>
      </c>
      <c r="B311" s="402"/>
      <c r="C311" s="402"/>
      <c r="D311" s="402"/>
      <c r="E311" s="559">
        <v>8300000000</v>
      </c>
      <c r="F311" s="394"/>
      <c r="G311" s="561"/>
      <c r="H311" s="560">
        <f>H314+H312</f>
        <v>60144.379860000001</v>
      </c>
      <c r="I311" s="560">
        <f>I314+I312</f>
        <v>59437.095869999997</v>
      </c>
      <c r="J311" s="560">
        <f>J314+J312</f>
        <v>60144.379860000001</v>
      </c>
      <c r="K311" s="560">
        <f>K314+K312</f>
        <v>59437.095869999997</v>
      </c>
      <c r="L311" s="560">
        <f t="shared" ref="L311:L326" si="91">J311-H311</f>
        <v>0</v>
      </c>
      <c r="M311" s="560">
        <f t="shared" ref="M311:M326" si="92">K311-I311</f>
        <v>0</v>
      </c>
      <c r="N311" s="39">
        <f>H311-'ведом 2024 пр.4'!G2396</f>
        <v>0</v>
      </c>
      <c r="O311" s="39">
        <f>I311-'ведом 2024 пр.4'!H2396</f>
        <v>0</v>
      </c>
      <c r="P311" s="39">
        <f>J311-'ведом 2024 пр.4'!I2396</f>
        <v>0</v>
      </c>
      <c r="Q311" s="39">
        <f>K311-'ведом 2024 пр.4'!J2396</f>
        <v>0</v>
      </c>
      <c r="R311" s="39"/>
      <c r="S311" s="39"/>
      <c r="T311" s="39"/>
    </row>
    <row r="312" spans="1:20" ht="19.5" hidden="1" customHeight="1" x14ac:dyDescent="0.2">
      <c r="A312" s="605" t="s">
        <v>1564</v>
      </c>
      <c r="B312" s="402"/>
      <c r="C312" s="402"/>
      <c r="D312" s="402"/>
      <c r="E312" s="403">
        <v>8300200000</v>
      </c>
      <c r="F312" s="394"/>
      <c r="G312" s="606"/>
      <c r="H312" s="607">
        <f>H313</f>
        <v>0</v>
      </c>
      <c r="I312" s="607">
        <f>I313</f>
        <v>0</v>
      </c>
      <c r="J312" s="607">
        <f>J313</f>
        <v>0</v>
      </c>
      <c r="K312" s="607">
        <f>K313</f>
        <v>0</v>
      </c>
      <c r="L312" s="607">
        <f t="shared" si="91"/>
        <v>0</v>
      </c>
      <c r="M312" s="607">
        <f t="shared" si="92"/>
        <v>0</v>
      </c>
      <c r="N312" s="39"/>
      <c r="O312" s="39"/>
      <c r="P312" s="39"/>
      <c r="Q312" s="39"/>
      <c r="R312" s="39"/>
      <c r="S312" s="39"/>
      <c r="T312" s="39"/>
    </row>
    <row r="313" spans="1:20" ht="19.5" hidden="1" customHeight="1" x14ac:dyDescent="0.2">
      <c r="A313" s="408" t="s">
        <v>73</v>
      </c>
      <c r="B313" s="402"/>
      <c r="C313" s="402"/>
      <c r="D313" s="402"/>
      <c r="E313" s="403">
        <v>8300200000</v>
      </c>
      <c r="F313" s="394"/>
      <c r="G313" s="606">
        <v>959</v>
      </c>
      <c r="H313" s="607">
        <f>'ведом 2024 пр.4'!G1465</f>
        <v>0</v>
      </c>
      <c r="I313" s="607">
        <f>'ведом 2024 пр.4'!H1465</f>
        <v>0</v>
      </c>
      <c r="J313" s="607">
        <f>'ведом 2024 пр.4'!I1465</f>
        <v>0</v>
      </c>
      <c r="K313" s="607">
        <f>'ведом 2024 пр.4'!J1465</f>
        <v>0</v>
      </c>
      <c r="L313" s="607">
        <f t="shared" si="91"/>
        <v>0</v>
      </c>
      <c r="M313" s="607">
        <f t="shared" si="92"/>
        <v>0</v>
      </c>
      <c r="N313" s="39"/>
      <c r="O313" s="39"/>
      <c r="P313" s="39"/>
      <c r="Q313" s="39"/>
      <c r="R313" s="39"/>
      <c r="S313" s="39"/>
      <c r="T313" s="39"/>
    </row>
    <row r="314" spans="1:20" x14ac:dyDescent="0.2">
      <c r="A314" s="406" t="str">
        <f>'ведом 2024 пр.4'!A1472</f>
        <v>Национальный проект "Жилье и городская среда"</v>
      </c>
      <c r="B314" s="402"/>
      <c r="C314" s="402"/>
      <c r="D314" s="402"/>
      <c r="E314" s="403" t="s">
        <v>1157</v>
      </c>
      <c r="F314" s="402"/>
      <c r="G314" s="396"/>
      <c r="H314" s="405">
        <f t="shared" ref="H314:K315" si="93">H315</f>
        <v>60144.379860000001</v>
      </c>
      <c r="I314" s="405">
        <f t="shared" si="93"/>
        <v>59437.095869999997</v>
      </c>
      <c r="J314" s="405">
        <f t="shared" si="93"/>
        <v>60144.379860000001</v>
      </c>
      <c r="K314" s="405">
        <f t="shared" si="93"/>
        <v>59437.095869999997</v>
      </c>
      <c r="L314" s="405">
        <f t="shared" si="91"/>
        <v>0</v>
      </c>
      <c r="M314" s="405">
        <f t="shared" si="92"/>
        <v>0</v>
      </c>
    </row>
    <row r="315" spans="1:20" x14ac:dyDescent="0.2">
      <c r="A315" s="406" t="str">
        <f>'ведом 2024 пр.4'!A1473</f>
        <v>Федеральный проект "Формирование комфортной городской среды"</v>
      </c>
      <c r="B315" s="402"/>
      <c r="C315" s="402"/>
      <c r="D315" s="402"/>
      <c r="E315" s="403" t="s">
        <v>1156</v>
      </c>
      <c r="F315" s="402"/>
      <c r="G315" s="396"/>
      <c r="H315" s="405">
        <f>H316</f>
        <v>60144.379860000001</v>
      </c>
      <c r="I315" s="405">
        <f t="shared" si="93"/>
        <v>59437.095869999997</v>
      </c>
      <c r="J315" s="405">
        <f>J316</f>
        <v>60144.379860000001</v>
      </c>
      <c r="K315" s="405">
        <f t="shared" si="93"/>
        <v>59437.095869999997</v>
      </c>
      <c r="L315" s="405">
        <f t="shared" si="91"/>
        <v>0</v>
      </c>
      <c r="M315" s="405">
        <f t="shared" si="92"/>
        <v>0</v>
      </c>
    </row>
    <row r="316" spans="1:20" x14ac:dyDescent="0.2">
      <c r="A316" s="408" t="s">
        <v>73</v>
      </c>
      <c r="B316" s="402"/>
      <c r="C316" s="402"/>
      <c r="D316" s="402"/>
      <c r="E316" s="403" t="s">
        <v>1156</v>
      </c>
      <c r="F316" s="402"/>
      <c r="G316" s="396">
        <v>959</v>
      </c>
      <c r="H316" s="405">
        <f>'ведом 2024 пр.4'!G1473</f>
        <v>60144.379860000001</v>
      </c>
      <c r="I316" s="405">
        <f>'ведом 2024 пр.4'!H1473</f>
        <v>59437.095869999997</v>
      </c>
      <c r="J316" s="405">
        <f>'ведом 2024 пр.4'!I1473</f>
        <v>60144.379860000001</v>
      </c>
      <c r="K316" s="405">
        <f>'ведом 2024 пр.4'!J1473</f>
        <v>59437.095869999997</v>
      </c>
      <c r="L316" s="405">
        <f t="shared" si="91"/>
        <v>0</v>
      </c>
      <c r="M316" s="405">
        <f t="shared" si="92"/>
        <v>0</v>
      </c>
      <c r="N316" s="160" t="s">
        <v>1715</v>
      </c>
    </row>
    <row r="317" spans="1:20" ht="14.25" x14ac:dyDescent="0.2">
      <c r="A317" s="562" t="str">
        <f>'ведом 2024 пр.4'!A2071</f>
        <v>Муниципальная программа "Чистая вода на 2020-2025 гг."</v>
      </c>
      <c r="B317" s="394"/>
      <c r="C317" s="394"/>
      <c r="D317" s="394"/>
      <c r="E317" s="559">
        <v>8400000000</v>
      </c>
      <c r="F317" s="394"/>
      <c r="G317" s="561"/>
      <c r="H317" s="560">
        <f>H318+H320+H322+H324</f>
        <v>77137.41</v>
      </c>
      <c r="I317" s="560">
        <f>I318+I320+I322+I324</f>
        <v>52537.1</v>
      </c>
      <c r="J317" s="560">
        <f>J318+J320+J322+J324</f>
        <v>77137.41</v>
      </c>
      <c r="K317" s="560">
        <f>K318+K320+K322+K324</f>
        <v>52537.1</v>
      </c>
      <c r="L317" s="560">
        <f t="shared" si="91"/>
        <v>0</v>
      </c>
      <c r="M317" s="560">
        <f t="shared" si="92"/>
        <v>0</v>
      </c>
      <c r="N317" s="39">
        <f>H317-'ведом 2024 пр.4'!G2397</f>
        <v>0</v>
      </c>
      <c r="O317" s="39">
        <f>I317-'ведом 2024 пр.4'!H2397</f>
        <v>0</v>
      </c>
      <c r="P317" s="39">
        <f>J317-'ведом 2024 пр.4'!I2397</f>
        <v>0</v>
      </c>
      <c r="Q317" s="39">
        <f>K317-'ведом 2024 пр.4'!J2397</f>
        <v>0</v>
      </c>
    </row>
    <row r="318" spans="1:20" ht="29.25" customHeight="1" x14ac:dyDescent="0.2">
      <c r="A318" s="406" t="str">
        <f>'ведом 2024 пр.4'!A2072</f>
        <v xml:space="preserve">          Основное мероприятие "Строительство водозаборных сооружений и сетей холодного водоснабжения в г. Закаменск Закаменского района"</v>
      </c>
      <c r="B318" s="402"/>
      <c r="C318" s="402"/>
      <c r="D318" s="402"/>
      <c r="E318" s="403">
        <v>8400100000</v>
      </c>
      <c r="F318" s="402"/>
      <c r="G318" s="396"/>
      <c r="H318" s="405">
        <f>H319</f>
        <v>17517.599999999999</v>
      </c>
      <c r="I318" s="405">
        <f>I319</f>
        <v>0</v>
      </c>
      <c r="J318" s="405">
        <f>J319</f>
        <v>17517.599999999999</v>
      </c>
      <c r="K318" s="405">
        <f>K319</f>
        <v>0</v>
      </c>
      <c r="L318" s="405">
        <f t="shared" si="91"/>
        <v>0</v>
      </c>
      <c r="M318" s="405">
        <f t="shared" si="92"/>
        <v>0</v>
      </c>
    </row>
    <row r="319" spans="1:20" ht="28.5" customHeight="1" x14ac:dyDescent="0.2">
      <c r="A319" s="408" t="s">
        <v>228</v>
      </c>
      <c r="B319" s="402"/>
      <c r="C319" s="402"/>
      <c r="D319" s="402"/>
      <c r="E319" s="403">
        <v>8400100000</v>
      </c>
      <c r="F319" s="402"/>
      <c r="G319" s="396">
        <v>961</v>
      </c>
      <c r="H319" s="405">
        <f>'ведом 2024 пр.4'!G2072</f>
        <v>17517.599999999999</v>
      </c>
      <c r="I319" s="405">
        <f>'ведом 2024 пр.4'!H2072</f>
        <v>0</v>
      </c>
      <c r="J319" s="405">
        <f>'ведом 2024 пр.4'!I2072</f>
        <v>17517.599999999999</v>
      </c>
      <c r="K319" s="405">
        <f>'ведом 2024 пр.4'!J2072</f>
        <v>0</v>
      </c>
      <c r="L319" s="405">
        <f t="shared" si="91"/>
        <v>0</v>
      </c>
      <c r="M319" s="405">
        <f t="shared" si="92"/>
        <v>0</v>
      </c>
    </row>
    <row r="320" spans="1:20" ht="30" hidden="1" customHeight="1" x14ac:dyDescent="0.2">
      <c r="A320" s="406" t="str">
        <f>'ведом 2024 пр.4'!A2075</f>
        <v xml:space="preserve">          Основное мероприятие "Реконструкция сетей холодного водоснабжения в с. Холтосон Закаменского района"</v>
      </c>
      <c r="B320" s="402"/>
      <c r="C320" s="402"/>
      <c r="D320" s="402"/>
      <c r="E320" s="403">
        <v>8400200000</v>
      </c>
      <c r="F320" s="402"/>
      <c r="G320" s="396"/>
      <c r="H320" s="405">
        <f>H321</f>
        <v>0</v>
      </c>
      <c r="I320" s="405">
        <f>I321</f>
        <v>0</v>
      </c>
      <c r="J320" s="405">
        <f>J321</f>
        <v>0</v>
      </c>
      <c r="K320" s="405">
        <f>K321</f>
        <v>0</v>
      </c>
      <c r="L320" s="405">
        <f t="shared" si="91"/>
        <v>0</v>
      </c>
      <c r="M320" s="405">
        <f t="shared" si="92"/>
        <v>0</v>
      </c>
    </row>
    <row r="321" spans="1:20" ht="34.5" hidden="1" customHeight="1" x14ac:dyDescent="0.2">
      <c r="A321" s="408" t="s">
        <v>228</v>
      </c>
      <c r="B321" s="402"/>
      <c r="C321" s="402"/>
      <c r="D321" s="402"/>
      <c r="E321" s="403">
        <v>8400200000</v>
      </c>
      <c r="F321" s="402"/>
      <c r="G321" s="396">
        <v>961</v>
      </c>
      <c r="H321" s="405">
        <f>'ведом 2024 пр.4'!G2075</f>
        <v>0</v>
      </c>
      <c r="I321" s="405">
        <f>'ведом 2024 пр.4'!H2075</f>
        <v>0</v>
      </c>
      <c r="J321" s="405">
        <f>'ведом 2024 пр.4'!I2075</f>
        <v>0</v>
      </c>
      <c r="K321" s="405">
        <f>'ведом 2024 пр.4'!J2075</f>
        <v>0</v>
      </c>
      <c r="L321" s="405">
        <f t="shared" si="91"/>
        <v>0</v>
      </c>
      <c r="M321" s="405">
        <f t="shared" si="92"/>
        <v>0</v>
      </c>
    </row>
    <row r="322" spans="1:20" ht="29.25" customHeight="1" x14ac:dyDescent="0.2">
      <c r="A322" s="406" t="str">
        <f>'ведом 2024 пр.4'!A2078</f>
        <v xml:space="preserve">          Основное мероприятие "Строительство водозаборных сооружений и сетей холодного водоснабжения в с. Баянгол Закаменского района"</v>
      </c>
      <c r="B322" s="402"/>
      <c r="C322" s="402"/>
      <c r="D322" s="402"/>
      <c r="E322" s="403">
        <v>8400300000</v>
      </c>
      <c r="F322" s="402"/>
      <c r="G322" s="396"/>
      <c r="H322" s="405">
        <f>H323</f>
        <v>5991.2000000000007</v>
      </c>
      <c r="I322" s="405">
        <f>I323</f>
        <v>0</v>
      </c>
      <c r="J322" s="405">
        <f>J323</f>
        <v>5991.2000000000007</v>
      </c>
      <c r="K322" s="405">
        <f>K323</f>
        <v>0</v>
      </c>
      <c r="L322" s="405">
        <f t="shared" si="91"/>
        <v>0</v>
      </c>
      <c r="M322" s="405">
        <f t="shared" si="92"/>
        <v>0</v>
      </c>
    </row>
    <row r="323" spans="1:20" ht="27.75" customHeight="1" x14ac:dyDescent="0.2">
      <c r="A323" s="408" t="s">
        <v>228</v>
      </c>
      <c r="B323" s="402"/>
      <c r="C323" s="402"/>
      <c r="D323" s="402"/>
      <c r="E323" s="403">
        <v>8400300000</v>
      </c>
      <c r="F323" s="402"/>
      <c r="G323" s="396">
        <v>961</v>
      </c>
      <c r="H323" s="405">
        <f>'ведом 2024 пр.4'!G2078</f>
        <v>5991.2000000000007</v>
      </c>
      <c r="I323" s="405">
        <f>'ведом 2024 пр.4'!H2078</f>
        <v>0</v>
      </c>
      <c r="J323" s="405">
        <f>'ведом 2024 пр.4'!I2078</f>
        <v>5991.2000000000007</v>
      </c>
      <c r="K323" s="405">
        <f>'ведом 2024 пр.4'!J2078</f>
        <v>0</v>
      </c>
      <c r="L323" s="405">
        <f t="shared" si="91"/>
        <v>0</v>
      </c>
      <c r="M323" s="405">
        <f t="shared" si="92"/>
        <v>0</v>
      </c>
    </row>
    <row r="324" spans="1:20" x14ac:dyDescent="0.2">
      <c r="A324" s="406" t="str">
        <f>'ведом 2024 пр.4'!A2081</f>
        <v>Национальный проект "Жилье и городская среда"</v>
      </c>
      <c r="B324" s="402"/>
      <c r="C324" s="402"/>
      <c r="D324" s="402"/>
      <c r="E324" s="403" t="s">
        <v>1442</v>
      </c>
      <c r="F324" s="402"/>
      <c r="G324" s="396"/>
      <c r="H324" s="405">
        <f t="shared" ref="H324:K325" si="94">H325</f>
        <v>53628.61</v>
      </c>
      <c r="I324" s="405">
        <f t="shared" si="94"/>
        <v>52537.1</v>
      </c>
      <c r="J324" s="405">
        <f t="shared" si="94"/>
        <v>53628.61</v>
      </c>
      <c r="K324" s="405">
        <f t="shared" si="94"/>
        <v>52537.1</v>
      </c>
      <c r="L324" s="405">
        <f t="shared" si="91"/>
        <v>0</v>
      </c>
      <c r="M324" s="405">
        <f t="shared" si="92"/>
        <v>0</v>
      </c>
    </row>
    <row r="325" spans="1:20" x14ac:dyDescent="0.2">
      <c r="A325" s="406" t="str">
        <f>'ведом 2024 пр.4'!A2082</f>
        <v>Федеральный проект «Чистая вода»</v>
      </c>
      <c r="B325" s="402"/>
      <c r="C325" s="402"/>
      <c r="D325" s="402"/>
      <c r="E325" s="403" t="s">
        <v>1443</v>
      </c>
      <c r="F325" s="402"/>
      <c r="G325" s="396"/>
      <c r="H325" s="405">
        <f t="shared" si="94"/>
        <v>53628.61</v>
      </c>
      <c r="I325" s="405">
        <f t="shared" si="94"/>
        <v>52537.1</v>
      </c>
      <c r="J325" s="405">
        <f t="shared" si="94"/>
        <v>53628.61</v>
      </c>
      <c r="K325" s="405">
        <f t="shared" si="94"/>
        <v>52537.1</v>
      </c>
      <c r="L325" s="405">
        <f t="shared" si="91"/>
        <v>0</v>
      </c>
      <c r="M325" s="405">
        <f t="shared" si="92"/>
        <v>0</v>
      </c>
    </row>
    <row r="326" spans="1:20" ht="30" x14ac:dyDescent="0.2">
      <c r="A326" s="408" t="s">
        <v>228</v>
      </c>
      <c r="B326" s="402"/>
      <c r="C326" s="402"/>
      <c r="D326" s="402"/>
      <c r="E326" s="403" t="s">
        <v>1443</v>
      </c>
      <c r="F326" s="402"/>
      <c r="G326" s="396">
        <v>961</v>
      </c>
      <c r="H326" s="405">
        <f>'ведом 2024 пр.4'!G2082</f>
        <v>53628.61</v>
      </c>
      <c r="I326" s="405">
        <f>'ведом 2024 пр.4'!H2082</f>
        <v>52537.1</v>
      </c>
      <c r="J326" s="405">
        <f>'ведом 2024 пр.4'!I2082</f>
        <v>53628.61</v>
      </c>
      <c r="K326" s="405">
        <f>'ведом 2024 пр.4'!J2082</f>
        <v>52537.1</v>
      </c>
      <c r="L326" s="405">
        <f t="shared" si="91"/>
        <v>0</v>
      </c>
      <c r="M326" s="405">
        <f t="shared" si="92"/>
        <v>0</v>
      </c>
    </row>
    <row r="327" spans="1:20" x14ac:dyDescent="0.2">
      <c r="A327" s="562" t="str">
        <f>'ведом 2024 пр.4'!A1907</f>
        <v>Муниципальная программа "Развитие инфраструктуры в Закаменском районе"</v>
      </c>
      <c r="B327" s="624"/>
      <c r="C327" s="624"/>
      <c r="D327" s="624"/>
      <c r="E327" s="559">
        <v>8500000000</v>
      </c>
      <c r="F327" s="624"/>
      <c r="G327" s="563"/>
      <c r="H327" s="560">
        <f>H328+H343+H373</f>
        <v>89193.646999999997</v>
      </c>
      <c r="I327" s="560">
        <f t="shared" ref="I327:M327" si="95">I328+I343+I373</f>
        <v>50000</v>
      </c>
      <c r="J327" s="560">
        <f t="shared" si="95"/>
        <v>108553.06228</v>
      </c>
      <c r="K327" s="560">
        <f t="shared" si="95"/>
        <v>50000</v>
      </c>
      <c r="L327" s="560">
        <f t="shared" si="95"/>
        <v>19359.415280000001</v>
      </c>
      <c r="M327" s="560">
        <f t="shared" si="95"/>
        <v>0</v>
      </c>
      <c r="N327" s="39">
        <f>H327-'ведом 2024 пр.4'!G2398</f>
        <v>0</v>
      </c>
      <c r="O327" s="39">
        <f>I327-'ведом 2024 пр.4'!H2398</f>
        <v>0</v>
      </c>
      <c r="P327" s="39">
        <f>J327-'ведом 2024 пр.4'!I2398</f>
        <v>0</v>
      </c>
      <c r="Q327" s="39">
        <f>K327-'ведом 2024 пр.4'!J2398</f>
        <v>0</v>
      </c>
      <c r="R327" s="39"/>
      <c r="S327" s="39"/>
      <c r="T327" s="39"/>
    </row>
    <row r="328" spans="1:20" x14ac:dyDescent="0.2">
      <c r="A328" s="406" t="str">
        <f>'ведом 2024 пр.4'!A2105</f>
        <v>Подпрограмма "Развитие благоустройства в Закаменском районе"</v>
      </c>
      <c r="B328" s="402"/>
      <c r="C328" s="402"/>
      <c r="D328" s="402"/>
      <c r="E328" s="403">
        <v>8520000000</v>
      </c>
      <c r="F328" s="402"/>
      <c r="G328" s="396"/>
      <c r="H328" s="405">
        <f t="shared" ref="H328:M328" si="96">H331+H335+H329+H333+H337+H339+H341</f>
        <v>2600</v>
      </c>
      <c r="I328" s="405">
        <f t="shared" si="96"/>
        <v>0</v>
      </c>
      <c r="J328" s="405">
        <f t="shared" si="96"/>
        <v>2452.0798</v>
      </c>
      <c r="K328" s="405">
        <f t="shared" si="96"/>
        <v>0</v>
      </c>
      <c r="L328" s="405">
        <f t="shared" si="96"/>
        <v>-147.92019999999999</v>
      </c>
      <c r="M328" s="405">
        <f t="shared" si="96"/>
        <v>0</v>
      </c>
    </row>
    <row r="329" spans="1:20" ht="30" x14ac:dyDescent="0.2">
      <c r="A329" s="406" t="str">
        <f>'ведом 2024 пр.4'!A2106</f>
        <v>Основное мероприятие "Озеленение (посадка и ремонт зеленых насаждений, удаление сухих деревьев, цветочное оформление)"</v>
      </c>
      <c r="B329" s="402"/>
      <c r="C329" s="402"/>
      <c r="D329" s="402"/>
      <c r="E329" s="403">
        <v>8520200000</v>
      </c>
      <c r="F329" s="396"/>
      <c r="G329" s="396"/>
      <c r="H329" s="405">
        <f t="shared" ref="H329:M329" si="97">H330</f>
        <v>275</v>
      </c>
      <c r="I329" s="405">
        <f t="shared" si="97"/>
        <v>0</v>
      </c>
      <c r="J329" s="405">
        <f t="shared" si="97"/>
        <v>200</v>
      </c>
      <c r="K329" s="405">
        <f t="shared" si="97"/>
        <v>0</v>
      </c>
      <c r="L329" s="405">
        <f t="shared" si="97"/>
        <v>-75</v>
      </c>
      <c r="M329" s="405">
        <f t="shared" si="97"/>
        <v>0</v>
      </c>
    </row>
    <row r="330" spans="1:20" ht="30" x14ac:dyDescent="0.2">
      <c r="A330" s="408" t="s">
        <v>228</v>
      </c>
      <c r="B330" s="402"/>
      <c r="C330" s="402"/>
      <c r="D330" s="402"/>
      <c r="E330" s="403">
        <v>8520200000</v>
      </c>
      <c r="F330" s="396">
        <v>961</v>
      </c>
      <c r="G330" s="396">
        <v>961</v>
      </c>
      <c r="H330" s="405">
        <f>'ведом 2024 пр.4'!G2106</f>
        <v>275</v>
      </c>
      <c r="I330" s="405">
        <f>'ведом 2024 пр.4'!H2106</f>
        <v>0</v>
      </c>
      <c r="J330" s="405">
        <f>'ведом 2024 пр.4'!I2106</f>
        <v>200</v>
      </c>
      <c r="K330" s="405">
        <f>'ведом 2024 пр.4'!J2106</f>
        <v>0</v>
      </c>
      <c r="L330" s="405">
        <f>'ведом 2024 пр.4'!K2106</f>
        <v>-75</v>
      </c>
      <c r="M330" s="405">
        <f>'ведом 2024 пр.4'!L2106</f>
        <v>0</v>
      </c>
    </row>
    <row r="331" spans="1:20" hidden="1" x14ac:dyDescent="0.2">
      <c r="A331" s="406" t="str">
        <f>'ведом 2024 пр.4'!A2111</f>
        <v>Основное мероприятие "Оборудование и ремонт детских, спортивных площадок, мест отдыха</v>
      </c>
      <c r="B331" s="402"/>
      <c r="C331" s="402"/>
      <c r="D331" s="402"/>
      <c r="E331" s="403">
        <v>8520300000</v>
      </c>
      <c r="F331" s="402"/>
      <c r="G331" s="396"/>
      <c r="H331" s="405">
        <f t="shared" ref="H331:M331" si="98">H332</f>
        <v>50</v>
      </c>
      <c r="I331" s="405">
        <f t="shared" si="98"/>
        <v>0</v>
      </c>
      <c r="J331" s="405">
        <f t="shared" si="98"/>
        <v>0</v>
      </c>
      <c r="K331" s="405">
        <f t="shared" si="98"/>
        <v>0</v>
      </c>
      <c r="L331" s="405">
        <f t="shared" si="98"/>
        <v>-50</v>
      </c>
      <c r="M331" s="405">
        <f t="shared" si="98"/>
        <v>0</v>
      </c>
    </row>
    <row r="332" spans="1:20" ht="30" hidden="1" x14ac:dyDescent="0.2">
      <c r="A332" s="408" t="s">
        <v>228</v>
      </c>
      <c r="B332" s="402"/>
      <c r="C332" s="402"/>
      <c r="D332" s="402"/>
      <c r="E332" s="403">
        <v>8520300000</v>
      </c>
      <c r="F332" s="402"/>
      <c r="G332" s="396">
        <v>961</v>
      </c>
      <c r="H332" s="405">
        <f>'ведом 2024 пр.4'!G2111</f>
        <v>50</v>
      </c>
      <c r="I332" s="405">
        <f>'ведом 2024 пр.4'!H2111</f>
        <v>0</v>
      </c>
      <c r="J332" s="405">
        <f>'ведом 2024 пр.4'!I2111</f>
        <v>0</v>
      </c>
      <c r="K332" s="405">
        <f>'ведом 2024 пр.4'!J2111</f>
        <v>0</v>
      </c>
      <c r="L332" s="405">
        <f>'ведом 2024 пр.4'!K2111</f>
        <v>-50</v>
      </c>
      <c r="M332" s="405">
        <f>'ведом 2024 пр.4'!L2111</f>
        <v>0</v>
      </c>
    </row>
    <row r="333" spans="1:20" ht="29.25" customHeight="1" x14ac:dyDescent="0.2">
      <c r="A333" s="406" t="str">
        <f>'ведом 2024 пр.4'!A2114</f>
        <v>Основное мероприятие "Капитальный ремонт, ремонт дворовых территорий многоквартирных жилых домов, проездов к дворовым территориям МКД"</v>
      </c>
      <c r="B333" s="402"/>
      <c r="C333" s="402"/>
      <c r="D333" s="402"/>
      <c r="E333" s="403">
        <v>8520400000</v>
      </c>
      <c r="F333" s="402"/>
      <c r="G333" s="396"/>
      <c r="H333" s="405">
        <f t="shared" ref="H333:M333" si="99">H334</f>
        <v>150</v>
      </c>
      <c r="I333" s="405">
        <f t="shared" si="99"/>
        <v>0</v>
      </c>
      <c r="J333" s="405">
        <f t="shared" si="99"/>
        <v>150</v>
      </c>
      <c r="K333" s="405">
        <f t="shared" si="99"/>
        <v>0</v>
      </c>
      <c r="L333" s="405">
        <f t="shared" si="99"/>
        <v>0</v>
      </c>
      <c r="M333" s="405">
        <f t="shared" si="99"/>
        <v>0</v>
      </c>
    </row>
    <row r="334" spans="1:20" ht="30" x14ac:dyDescent="0.2">
      <c r="A334" s="408" t="s">
        <v>228</v>
      </c>
      <c r="B334" s="402"/>
      <c r="C334" s="402"/>
      <c r="D334" s="402"/>
      <c r="E334" s="403">
        <v>8520400000</v>
      </c>
      <c r="F334" s="402"/>
      <c r="G334" s="396">
        <v>961</v>
      </c>
      <c r="H334" s="405">
        <f>'ведом 2024 пр.4'!G2114+'ведом 2024 пр.4'!G1909</f>
        <v>150</v>
      </c>
      <c r="I334" s="405">
        <f>'ведом 2024 пр.4'!H2114+'ведом 2024 пр.4'!H1909</f>
        <v>0</v>
      </c>
      <c r="J334" s="405">
        <f>'ведом 2024 пр.4'!I2114+'ведом 2024 пр.4'!I1909</f>
        <v>150</v>
      </c>
      <c r="K334" s="405">
        <f>'ведом 2024 пр.4'!J2114+'ведом 2024 пр.4'!J1909</f>
        <v>0</v>
      </c>
      <c r="L334" s="405">
        <f>'ведом 2024 пр.4'!K2114+'ведом 2024 пр.4'!K1909</f>
        <v>0</v>
      </c>
      <c r="M334" s="405">
        <f>'ведом 2024 пр.4'!L2114+'ведом 2024 пр.4'!L1909</f>
        <v>0</v>
      </c>
    </row>
    <row r="335" spans="1:20" x14ac:dyDescent="0.2">
      <c r="A335" s="406" t="str">
        <f>'ведом 2024 пр.4'!A2117</f>
        <v>Основное мероприятие "Устройство ограждений, ремонт ограждений, устройство видеонаблюдения"</v>
      </c>
      <c r="B335" s="402"/>
      <c r="C335" s="402"/>
      <c r="D335" s="402"/>
      <c r="E335" s="403">
        <v>8520500000</v>
      </c>
      <c r="F335" s="402"/>
      <c r="G335" s="396"/>
      <c r="H335" s="405">
        <f t="shared" ref="H335:M335" si="100">H336</f>
        <v>50</v>
      </c>
      <c r="I335" s="405">
        <f t="shared" si="100"/>
        <v>0</v>
      </c>
      <c r="J335" s="405">
        <f t="shared" si="100"/>
        <v>27.079799999999999</v>
      </c>
      <c r="K335" s="405">
        <f t="shared" si="100"/>
        <v>0</v>
      </c>
      <c r="L335" s="405">
        <f t="shared" si="100"/>
        <v>-22.920200000000001</v>
      </c>
      <c r="M335" s="405">
        <f t="shared" si="100"/>
        <v>0</v>
      </c>
    </row>
    <row r="336" spans="1:20" ht="30" x14ac:dyDescent="0.2">
      <c r="A336" s="408" t="s">
        <v>228</v>
      </c>
      <c r="B336" s="402"/>
      <c r="C336" s="402"/>
      <c r="D336" s="402"/>
      <c r="E336" s="403">
        <v>8520500000</v>
      </c>
      <c r="F336" s="402"/>
      <c r="G336" s="396">
        <v>961</v>
      </c>
      <c r="H336" s="405">
        <f>'ведом 2024 пр.4'!G2117</f>
        <v>50</v>
      </c>
      <c r="I336" s="405">
        <f>'ведом 2024 пр.4'!H2117</f>
        <v>0</v>
      </c>
      <c r="J336" s="405">
        <f>'ведом 2024 пр.4'!I2117</f>
        <v>27.079799999999999</v>
      </c>
      <c r="K336" s="405">
        <f>'ведом 2024 пр.4'!J2117</f>
        <v>0</v>
      </c>
      <c r="L336" s="405">
        <f>'ведом 2024 пр.4'!K2117</f>
        <v>-22.920200000000001</v>
      </c>
      <c r="M336" s="405">
        <f>'ведом 2024 пр.4'!L2117</f>
        <v>0</v>
      </c>
    </row>
    <row r="337" spans="1:13" x14ac:dyDescent="0.2">
      <c r="A337" s="406" t="str">
        <f>'ведом 2024 пр.4'!A2120</f>
        <v>Основное мероприятие "Строительство сетей наружного освещения улиц"</v>
      </c>
      <c r="B337" s="402"/>
      <c r="C337" s="402"/>
      <c r="D337" s="402"/>
      <c r="E337" s="403">
        <v>8520600000</v>
      </c>
      <c r="F337" s="402"/>
      <c r="G337" s="396"/>
      <c r="H337" s="405">
        <f t="shared" ref="H337:M337" si="101">H338</f>
        <v>1610</v>
      </c>
      <c r="I337" s="405">
        <f t="shared" si="101"/>
        <v>0</v>
      </c>
      <c r="J337" s="405">
        <f t="shared" si="101"/>
        <v>1610</v>
      </c>
      <c r="K337" s="405">
        <f t="shared" si="101"/>
        <v>0</v>
      </c>
      <c r="L337" s="405">
        <f t="shared" si="101"/>
        <v>0</v>
      </c>
      <c r="M337" s="405">
        <f t="shared" si="101"/>
        <v>0</v>
      </c>
    </row>
    <row r="338" spans="1:13" ht="30" x14ac:dyDescent="0.2">
      <c r="A338" s="408" t="s">
        <v>228</v>
      </c>
      <c r="B338" s="402"/>
      <c r="C338" s="402"/>
      <c r="D338" s="402"/>
      <c r="E338" s="403">
        <v>8520600000</v>
      </c>
      <c r="F338" s="402"/>
      <c r="G338" s="396">
        <v>961</v>
      </c>
      <c r="H338" s="405">
        <f>'ведом 2024 пр.4'!G2120</f>
        <v>1610</v>
      </c>
      <c r="I338" s="405">
        <f>'ведом 2024 пр.4'!H2120</f>
        <v>0</v>
      </c>
      <c r="J338" s="405">
        <f>'ведом 2024 пр.4'!I2120</f>
        <v>1610</v>
      </c>
      <c r="K338" s="405">
        <f>'ведом 2024 пр.4'!J2120</f>
        <v>0</v>
      </c>
      <c r="L338" s="405">
        <f>'ведом 2024 пр.4'!K2120</f>
        <v>0</v>
      </c>
      <c r="M338" s="405">
        <f>'ведом 2024 пр.4'!L2120</f>
        <v>0</v>
      </c>
    </row>
    <row r="339" spans="1:13" x14ac:dyDescent="0.2">
      <c r="A339" s="406" t="str">
        <f>'ведом 2024 пр.4'!A2127</f>
        <v>Основное мероприятие "Очистка берегов рек от бытового мусора"</v>
      </c>
      <c r="B339" s="402"/>
      <c r="C339" s="402"/>
      <c r="D339" s="402"/>
      <c r="E339" s="403">
        <v>8520800000</v>
      </c>
      <c r="F339" s="402"/>
      <c r="G339" s="396"/>
      <c r="H339" s="405">
        <f t="shared" ref="H339:M339" si="102">H340</f>
        <v>65</v>
      </c>
      <c r="I339" s="405">
        <f t="shared" si="102"/>
        <v>0</v>
      </c>
      <c r="J339" s="405">
        <f t="shared" si="102"/>
        <v>65</v>
      </c>
      <c r="K339" s="405">
        <f t="shared" si="102"/>
        <v>0</v>
      </c>
      <c r="L339" s="405">
        <f t="shared" si="102"/>
        <v>0</v>
      </c>
      <c r="M339" s="405">
        <f t="shared" si="102"/>
        <v>0</v>
      </c>
    </row>
    <row r="340" spans="1:13" ht="30" x14ac:dyDescent="0.2">
      <c r="A340" s="408" t="s">
        <v>228</v>
      </c>
      <c r="B340" s="402"/>
      <c r="C340" s="402"/>
      <c r="D340" s="402"/>
      <c r="E340" s="403">
        <v>8520800000</v>
      </c>
      <c r="F340" s="402"/>
      <c r="G340" s="396">
        <v>961</v>
      </c>
      <c r="H340" s="405">
        <f>'ведом 2024 пр.4'!G2127</f>
        <v>65</v>
      </c>
      <c r="I340" s="405">
        <f>'ведом 2024 пр.4'!H2127</f>
        <v>0</v>
      </c>
      <c r="J340" s="405">
        <f>'ведом 2024 пр.4'!I2127</f>
        <v>65</v>
      </c>
      <c r="K340" s="405">
        <f>'ведом 2024 пр.4'!J2127</f>
        <v>0</v>
      </c>
      <c r="L340" s="405">
        <f>'ведом 2024 пр.4'!K2127</f>
        <v>0</v>
      </c>
      <c r="M340" s="405">
        <f>'ведом 2024 пр.4'!L2127</f>
        <v>0</v>
      </c>
    </row>
    <row r="341" spans="1:13" x14ac:dyDescent="0.2">
      <c r="A341" s="406" t="str">
        <f>'ведом 2024 пр.4'!A2130</f>
        <v>Основное мероприятие "Стелы при въезде в населенные пункты (восстановление, ремонт, благоустройство)"</v>
      </c>
      <c r="B341" s="402"/>
      <c r="C341" s="402"/>
      <c r="D341" s="402"/>
      <c r="E341" s="403">
        <v>8520900000</v>
      </c>
      <c r="F341" s="402"/>
      <c r="G341" s="396"/>
      <c r="H341" s="405">
        <f t="shared" ref="H341:M341" si="103">H342</f>
        <v>400</v>
      </c>
      <c r="I341" s="405">
        <f t="shared" si="103"/>
        <v>0</v>
      </c>
      <c r="J341" s="405">
        <f t="shared" si="103"/>
        <v>400</v>
      </c>
      <c r="K341" s="405">
        <f t="shared" si="103"/>
        <v>0</v>
      </c>
      <c r="L341" s="405">
        <f t="shared" si="103"/>
        <v>0</v>
      </c>
      <c r="M341" s="405">
        <f t="shared" si="103"/>
        <v>0</v>
      </c>
    </row>
    <row r="342" spans="1:13" ht="30" x14ac:dyDescent="0.2">
      <c r="A342" s="408" t="s">
        <v>228</v>
      </c>
      <c r="B342" s="402"/>
      <c r="C342" s="402"/>
      <c r="D342" s="402"/>
      <c r="E342" s="403">
        <v>8520900000</v>
      </c>
      <c r="F342" s="402"/>
      <c r="G342" s="396">
        <v>961</v>
      </c>
      <c r="H342" s="405">
        <f>'ведом 2024 пр.4'!G2130</f>
        <v>400</v>
      </c>
      <c r="I342" s="405">
        <f>'ведом 2024 пр.4'!H2130</f>
        <v>0</v>
      </c>
      <c r="J342" s="405">
        <f>'ведом 2024 пр.4'!I2130</f>
        <v>400</v>
      </c>
      <c r="K342" s="405">
        <f>'ведом 2024 пр.4'!J2130</f>
        <v>0</v>
      </c>
      <c r="L342" s="405">
        <f>'ведом 2024 пр.4'!K2130</f>
        <v>0</v>
      </c>
      <c r="M342" s="405">
        <f>'ведом 2024 пр.4'!L2130</f>
        <v>0</v>
      </c>
    </row>
    <row r="343" spans="1:13" x14ac:dyDescent="0.2">
      <c r="A343" s="406" t="str">
        <f>'ведом 2024 пр.4'!A1912</f>
        <v>Подпрограмма "Дороги общего пользования местного значения"</v>
      </c>
      <c r="B343" s="402"/>
      <c r="C343" s="402"/>
      <c r="D343" s="402"/>
      <c r="E343" s="403">
        <v>8530000000</v>
      </c>
      <c r="F343" s="402"/>
      <c r="G343" s="396"/>
      <c r="H343" s="405">
        <f t="shared" ref="H343:M343" si="104">H344+H346+H348+H350+H352+H354+H356+H358+H370+H360+H362+H364+H366+H368</f>
        <v>86233.646999999997</v>
      </c>
      <c r="I343" s="405">
        <f t="shared" si="104"/>
        <v>50000</v>
      </c>
      <c r="J343" s="405">
        <f t="shared" si="104"/>
        <v>105740.98247999999</v>
      </c>
      <c r="K343" s="405">
        <f t="shared" si="104"/>
        <v>50000</v>
      </c>
      <c r="L343" s="405">
        <f t="shared" si="104"/>
        <v>19507.335480000002</v>
      </c>
      <c r="M343" s="405">
        <f t="shared" si="104"/>
        <v>0</v>
      </c>
    </row>
    <row r="344" spans="1:13" x14ac:dyDescent="0.2">
      <c r="A344" s="406" t="str">
        <f>'ведом 2024 пр.4'!A1916</f>
        <v>Региональный проект «Региональная и местная дорожная сеть»</v>
      </c>
      <c r="B344" s="402"/>
      <c r="C344" s="402"/>
      <c r="D344" s="402"/>
      <c r="E344" s="403">
        <v>8530100000</v>
      </c>
      <c r="F344" s="402"/>
      <c r="G344" s="396"/>
      <c r="H344" s="405">
        <f t="shared" ref="H344:M344" si="105">H345</f>
        <v>0</v>
      </c>
      <c r="I344" s="405">
        <f t="shared" si="105"/>
        <v>0</v>
      </c>
      <c r="J344" s="405">
        <f t="shared" si="105"/>
        <v>22712.402480000001</v>
      </c>
      <c r="K344" s="405">
        <f t="shared" si="105"/>
        <v>0</v>
      </c>
      <c r="L344" s="405">
        <f t="shared" si="105"/>
        <v>22712.402480000001</v>
      </c>
      <c r="M344" s="405">
        <f t="shared" si="105"/>
        <v>0</v>
      </c>
    </row>
    <row r="345" spans="1:13" ht="30" x14ac:dyDescent="0.2">
      <c r="A345" s="408" t="s">
        <v>228</v>
      </c>
      <c r="B345" s="402"/>
      <c r="C345" s="402"/>
      <c r="D345" s="402"/>
      <c r="E345" s="403">
        <v>8530100000</v>
      </c>
      <c r="F345" s="402"/>
      <c r="G345" s="396">
        <v>961</v>
      </c>
      <c r="H345" s="405">
        <f>'ведом 2024 пр.4'!G1913</f>
        <v>0</v>
      </c>
      <c r="I345" s="405">
        <f>'ведом 2024 пр.4'!H1913</f>
        <v>0</v>
      </c>
      <c r="J345" s="405">
        <f>'ведом 2024 пр.4'!I1913</f>
        <v>22712.402480000001</v>
      </c>
      <c r="K345" s="405">
        <f>'ведом 2024 пр.4'!J1913</f>
        <v>0</v>
      </c>
      <c r="L345" s="405">
        <f>'ведом 2024 пр.4'!K1913</f>
        <v>22712.402480000001</v>
      </c>
      <c r="M345" s="405">
        <f>'ведом 2024 пр.4'!L1913</f>
        <v>0</v>
      </c>
    </row>
    <row r="346" spans="1:13" ht="45" x14ac:dyDescent="0.2">
      <c r="A346" s="406" t="str">
        <f>'ведом 2024 пр.4'!A1919</f>
        <v>Основное мероприятие "Содержание автомобильных дорог общего пользования местного значения, в том числе обеспечение безопасности дорожного движения, аварийно-восстановительные работы и ремонтно-восстановительные работы"</v>
      </c>
      <c r="B346" s="402"/>
      <c r="C346" s="402"/>
      <c r="D346" s="402"/>
      <c r="E346" s="403">
        <v>8530200000</v>
      </c>
      <c r="F346" s="402"/>
      <c r="G346" s="396"/>
      <c r="H346" s="405">
        <f t="shared" ref="H346:M346" si="106">H347</f>
        <v>11655.678</v>
      </c>
      <c r="I346" s="405">
        <f t="shared" si="106"/>
        <v>0</v>
      </c>
      <c r="J346" s="405">
        <f t="shared" si="106"/>
        <v>12655.678</v>
      </c>
      <c r="K346" s="405">
        <f t="shared" si="106"/>
        <v>0</v>
      </c>
      <c r="L346" s="405">
        <f t="shared" si="106"/>
        <v>1000</v>
      </c>
      <c r="M346" s="405">
        <f t="shared" si="106"/>
        <v>0</v>
      </c>
    </row>
    <row r="347" spans="1:13" ht="30" x14ac:dyDescent="0.2">
      <c r="A347" s="408" t="s">
        <v>228</v>
      </c>
      <c r="B347" s="402"/>
      <c r="C347" s="402"/>
      <c r="D347" s="402"/>
      <c r="E347" s="403">
        <v>8530200000</v>
      </c>
      <c r="F347" s="402"/>
      <c r="G347" s="396">
        <v>961</v>
      </c>
      <c r="H347" s="405">
        <f>'ведом 2024 пр.4'!G1919</f>
        <v>11655.678</v>
      </c>
      <c r="I347" s="405">
        <f>'ведом 2024 пр.4'!H1919</f>
        <v>0</v>
      </c>
      <c r="J347" s="405">
        <f>'ведом 2024 пр.4'!I1919</f>
        <v>12655.678</v>
      </c>
      <c r="K347" s="405">
        <f>'ведом 2024 пр.4'!J1919</f>
        <v>0</v>
      </c>
      <c r="L347" s="405">
        <f>'ведом 2024 пр.4'!K1919</f>
        <v>1000</v>
      </c>
      <c r="M347" s="405">
        <f>'ведом 2024 пр.4'!L1919</f>
        <v>0</v>
      </c>
    </row>
    <row r="348" spans="1:13" hidden="1" x14ac:dyDescent="0.2">
      <c r="A348" s="406" t="str">
        <f>'ведом 2024 пр.4'!A1925</f>
        <v>Основное мероприятие "Ремонт автодороги по ул.Центральная у.Далахай (в том числе разработка ПСД)"</v>
      </c>
      <c r="B348" s="402"/>
      <c r="C348" s="402"/>
      <c r="D348" s="402"/>
      <c r="E348" s="403">
        <v>8530300000</v>
      </c>
      <c r="F348" s="402"/>
      <c r="G348" s="396"/>
      <c r="H348" s="405">
        <f t="shared" ref="H348:M348" si="107">H349</f>
        <v>0</v>
      </c>
      <c r="I348" s="405">
        <f t="shared" si="107"/>
        <v>0</v>
      </c>
      <c r="J348" s="405">
        <f t="shared" si="107"/>
        <v>0</v>
      </c>
      <c r="K348" s="405">
        <f t="shared" si="107"/>
        <v>0</v>
      </c>
      <c r="L348" s="405">
        <f t="shared" si="107"/>
        <v>0</v>
      </c>
      <c r="M348" s="405">
        <f t="shared" si="107"/>
        <v>0</v>
      </c>
    </row>
    <row r="349" spans="1:13" ht="30" hidden="1" x14ac:dyDescent="0.2">
      <c r="A349" s="408" t="s">
        <v>228</v>
      </c>
      <c r="B349" s="402"/>
      <c r="C349" s="402"/>
      <c r="D349" s="402"/>
      <c r="E349" s="403">
        <v>8530300000</v>
      </c>
      <c r="F349" s="402"/>
      <c r="G349" s="396">
        <v>961</v>
      </c>
      <c r="H349" s="405">
        <f>'ведом 2024 пр.4'!G1925</f>
        <v>0</v>
      </c>
      <c r="I349" s="405">
        <f>'ведом 2024 пр.4'!H1925</f>
        <v>0</v>
      </c>
      <c r="J349" s="405">
        <f>'ведом 2024 пр.4'!I1925</f>
        <v>0</v>
      </c>
      <c r="K349" s="405">
        <f>'ведом 2024 пр.4'!J1925</f>
        <v>0</v>
      </c>
      <c r="L349" s="405">
        <f>'ведом 2024 пр.4'!K1925</f>
        <v>0</v>
      </c>
      <c r="M349" s="405">
        <f>'ведом 2024 пр.4'!L1925</f>
        <v>0</v>
      </c>
    </row>
    <row r="350" spans="1:13" ht="30" hidden="1" x14ac:dyDescent="0.2">
      <c r="A350" s="406" t="str">
        <f>'ведом 2024 пр.4'!A1928</f>
        <v>Основное мероприятие "Ремонт подъезда к зданию Центра дополнительного образования от автомобильной дороги по ул.Крупской г.Закаменск (в том числе разработка ПСД)"</v>
      </c>
      <c r="B350" s="402"/>
      <c r="C350" s="402"/>
      <c r="D350" s="402"/>
      <c r="E350" s="403">
        <v>8530400000</v>
      </c>
      <c r="F350" s="402"/>
      <c r="G350" s="396"/>
      <c r="H350" s="405">
        <f t="shared" ref="H350:M350" si="108">H351</f>
        <v>0</v>
      </c>
      <c r="I350" s="405">
        <f t="shared" si="108"/>
        <v>0</v>
      </c>
      <c r="J350" s="405">
        <f t="shared" si="108"/>
        <v>0</v>
      </c>
      <c r="K350" s="405">
        <f t="shared" si="108"/>
        <v>0</v>
      </c>
      <c r="L350" s="405">
        <f t="shared" si="108"/>
        <v>0</v>
      </c>
      <c r="M350" s="405">
        <f t="shared" si="108"/>
        <v>0</v>
      </c>
    </row>
    <row r="351" spans="1:13" ht="30" hidden="1" x14ac:dyDescent="0.2">
      <c r="A351" s="408" t="s">
        <v>228</v>
      </c>
      <c r="B351" s="402"/>
      <c r="C351" s="402"/>
      <c r="D351" s="402"/>
      <c r="E351" s="403">
        <v>8530400000</v>
      </c>
      <c r="F351" s="402"/>
      <c r="G351" s="396">
        <v>961</v>
      </c>
      <c r="H351" s="405">
        <f>'ведом 2024 пр.4'!G1928</f>
        <v>0</v>
      </c>
      <c r="I351" s="405">
        <f>'ведом 2024 пр.4'!H1928</f>
        <v>0</v>
      </c>
      <c r="J351" s="405">
        <f>'ведом 2024 пр.4'!I1928</f>
        <v>0</v>
      </c>
      <c r="K351" s="405">
        <f>'ведом 2024 пр.4'!J1928</f>
        <v>0</v>
      </c>
      <c r="L351" s="405">
        <f>'ведом 2024 пр.4'!K1928</f>
        <v>0</v>
      </c>
      <c r="M351" s="405">
        <f>'ведом 2024 пр.4'!L1928</f>
        <v>0</v>
      </c>
    </row>
    <row r="352" spans="1:13" ht="30" hidden="1" x14ac:dyDescent="0.2">
      <c r="A352" s="406" t="str">
        <f>'ведом 2024 пр.4'!A1931</f>
        <v>Основное мероприятие "Ремонт дороги по ул.Центральная с устройством подъезда к зданию школы и детскому саду в у.Дутулур (в том числе разработка ПСД)"</v>
      </c>
      <c r="B352" s="402"/>
      <c r="C352" s="402"/>
      <c r="D352" s="402"/>
      <c r="E352" s="403">
        <v>8530500000</v>
      </c>
      <c r="F352" s="402"/>
      <c r="G352" s="396"/>
      <c r="H352" s="405">
        <f t="shared" ref="H352:M352" si="109">H353</f>
        <v>0</v>
      </c>
      <c r="I352" s="405">
        <f t="shared" si="109"/>
        <v>0</v>
      </c>
      <c r="J352" s="405">
        <f t="shared" si="109"/>
        <v>0</v>
      </c>
      <c r="K352" s="405">
        <f t="shared" si="109"/>
        <v>0</v>
      </c>
      <c r="L352" s="405">
        <f t="shared" si="109"/>
        <v>0</v>
      </c>
      <c r="M352" s="405">
        <f t="shared" si="109"/>
        <v>0</v>
      </c>
    </row>
    <row r="353" spans="1:13" ht="30" hidden="1" x14ac:dyDescent="0.2">
      <c r="A353" s="408" t="s">
        <v>228</v>
      </c>
      <c r="B353" s="402"/>
      <c r="C353" s="402"/>
      <c r="D353" s="402"/>
      <c r="E353" s="403">
        <v>8530500000</v>
      </c>
      <c r="F353" s="402"/>
      <c r="G353" s="396">
        <v>961</v>
      </c>
      <c r="H353" s="405">
        <f>'ведом 2024 пр.4'!G1931</f>
        <v>0</v>
      </c>
      <c r="I353" s="405">
        <f>'ведом 2024 пр.4'!H1931</f>
        <v>0</v>
      </c>
      <c r="J353" s="405">
        <f>'ведом 2024 пр.4'!I1931</f>
        <v>0</v>
      </c>
      <c r="K353" s="405">
        <f>'ведом 2024 пр.4'!J1931</f>
        <v>0</v>
      </c>
      <c r="L353" s="405">
        <f>'ведом 2024 пр.4'!K1931</f>
        <v>0</v>
      </c>
      <c r="M353" s="405">
        <f>'ведом 2024 пр.4'!L1931</f>
        <v>0</v>
      </c>
    </row>
    <row r="354" spans="1:13" ht="30" hidden="1" x14ac:dyDescent="0.2">
      <c r="A354" s="406" t="str">
        <f>'ведом 2024 пр.4'!A1934</f>
        <v>Основное мероприятие "Разработка ПСД на ремонт автодороги Дутулур-Утата-Далахай, на участке км 2+300 - км 8+360"</v>
      </c>
      <c r="B354" s="402"/>
      <c r="C354" s="402"/>
      <c r="D354" s="402"/>
      <c r="E354" s="403">
        <v>8530600000</v>
      </c>
      <c r="F354" s="402"/>
      <c r="G354" s="396"/>
      <c r="H354" s="405">
        <f t="shared" ref="H354:M354" si="110">H355</f>
        <v>0</v>
      </c>
      <c r="I354" s="405">
        <f t="shared" si="110"/>
        <v>0</v>
      </c>
      <c r="J354" s="405">
        <f t="shared" si="110"/>
        <v>0</v>
      </c>
      <c r="K354" s="405">
        <f t="shared" si="110"/>
        <v>0</v>
      </c>
      <c r="L354" s="405">
        <f t="shared" si="110"/>
        <v>0</v>
      </c>
      <c r="M354" s="405">
        <f t="shared" si="110"/>
        <v>0</v>
      </c>
    </row>
    <row r="355" spans="1:13" ht="30" hidden="1" x14ac:dyDescent="0.2">
      <c r="A355" s="408" t="s">
        <v>228</v>
      </c>
      <c r="B355" s="402"/>
      <c r="C355" s="402"/>
      <c r="D355" s="402"/>
      <c r="E355" s="403">
        <v>8530600000</v>
      </c>
      <c r="F355" s="402"/>
      <c r="G355" s="396">
        <v>961</v>
      </c>
      <c r="H355" s="405">
        <f>'ведом 2024 пр.4'!G1934</f>
        <v>0</v>
      </c>
      <c r="I355" s="405">
        <f>'ведом 2024 пр.4'!H1934</f>
        <v>0</v>
      </c>
      <c r="J355" s="405">
        <f>'ведом 2024 пр.4'!I1934</f>
        <v>0</v>
      </c>
      <c r="K355" s="405">
        <f>'ведом 2024 пр.4'!J1934</f>
        <v>0</v>
      </c>
      <c r="L355" s="405">
        <f>'ведом 2024 пр.4'!K1934</f>
        <v>0</v>
      </c>
      <c r="M355" s="405">
        <f>'ведом 2024 пр.4'!L1934</f>
        <v>0</v>
      </c>
    </row>
    <row r="356" spans="1:13" ht="30" x14ac:dyDescent="0.2">
      <c r="A356" s="406" t="str">
        <f>'ведом 2024 пр.4'!A1937</f>
        <v>Основное мероприятие "Обустройство пешеходных переходов вблизи общеобразовательных учреждений МАОУ "Михайловская СОШ", МАОУ "Санагинская СОШ"</v>
      </c>
      <c r="B356" s="402"/>
      <c r="C356" s="402"/>
      <c r="D356" s="402"/>
      <c r="E356" s="403">
        <v>8530700000</v>
      </c>
      <c r="F356" s="402"/>
      <c r="G356" s="396"/>
      <c r="H356" s="405">
        <f t="shared" ref="H356:M356" si="111">H357</f>
        <v>568.57000000000005</v>
      </c>
      <c r="I356" s="405">
        <f t="shared" si="111"/>
        <v>0</v>
      </c>
      <c r="J356" s="405">
        <f t="shared" si="111"/>
        <v>568.57000000000005</v>
      </c>
      <c r="K356" s="405">
        <f t="shared" si="111"/>
        <v>0</v>
      </c>
      <c r="L356" s="405">
        <f t="shared" si="111"/>
        <v>0</v>
      </c>
      <c r="M356" s="405">
        <f t="shared" si="111"/>
        <v>0</v>
      </c>
    </row>
    <row r="357" spans="1:13" ht="30" x14ac:dyDescent="0.2">
      <c r="A357" s="408" t="s">
        <v>228</v>
      </c>
      <c r="B357" s="402"/>
      <c r="C357" s="402"/>
      <c r="D357" s="402"/>
      <c r="E357" s="403">
        <v>8530700000</v>
      </c>
      <c r="F357" s="402"/>
      <c r="G357" s="396">
        <v>961</v>
      </c>
      <c r="H357" s="405">
        <f>'ведом 2024 пр.4'!G1937</f>
        <v>568.57000000000005</v>
      </c>
      <c r="I357" s="405">
        <f>'ведом 2024 пр.4'!H1937</f>
        <v>0</v>
      </c>
      <c r="J357" s="405">
        <f>'ведом 2024 пр.4'!I1937</f>
        <v>568.57000000000005</v>
      </c>
      <c r="K357" s="405">
        <f>'ведом 2024 пр.4'!J1937</f>
        <v>0</v>
      </c>
      <c r="L357" s="405">
        <f>'ведом 2024 пр.4'!K1937</f>
        <v>0</v>
      </c>
      <c r="M357" s="405">
        <f>'ведом 2024 пр.4'!L1937</f>
        <v>0</v>
      </c>
    </row>
    <row r="358" spans="1:13" hidden="1" x14ac:dyDescent="0.2">
      <c r="A358" s="406" t="str">
        <f>'ведом 2024 пр.4'!A1940</f>
        <v>Основное мероприятие "Ремонт участка автомобильной дороги Дутулур-Утата-Далахай от у.Хужир - у.Енгорбой"</v>
      </c>
      <c r="B358" s="402"/>
      <c r="C358" s="402"/>
      <c r="D358" s="402"/>
      <c r="E358" s="403">
        <v>8530800000</v>
      </c>
      <c r="F358" s="402"/>
      <c r="G358" s="396"/>
      <c r="H358" s="405">
        <f t="shared" ref="H358:M358" si="112">H359</f>
        <v>0</v>
      </c>
      <c r="I358" s="405">
        <f t="shared" si="112"/>
        <v>0</v>
      </c>
      <c r="J358" s="405">
        <f t="shared" si="112"/>
        <v>0</v>
      </c>
      <c r="K358" s="405">
        <f t="shared" si="112"/>
        <v>0</v>
      </c>
      <c r="L358" s="405">
        <f t="shared" si="112"/>
        <v>0</v>
      </c>
      <c r="M358" s="405">
        <f t="shared" si="112"/>
        <v>0</v>
      </c>
    </row>
    <row r="359" spans="1:13" ht="30" hidden="1" x14ac:dyDescent="0.2">
      <c r="A359" s="408" t="s">
        <v>228</v>
      </c>
      <c r="B359" s="402"/>
      <c r="C359" s="402"/>
      <c r="D359" s="402"/>
      <c r="E359" s="403">
        <v>8530800000</v>
      </c>
      <c r="F359" s="402"/>
      <c r="G359" s="396">
        <v>961</v>
      </c>
      <c r="H359" s="405">
        <f>'ведом 2024 пр.4'!G1940</f>
        <v>0</v>
      </c>
      <c r="I359" s="405">
        <f>'ведом 2024 пр.4'!H1940</f>
        <v>0</v>
      </c>
      <c r="J359" s="405">
        <f>'ведом 2024 пр.4'!I1940</f>
        <v>0</v>
      </c>
      <c r="K359" s="405">
        <f>'ведом 2024 пр.4'!J1940</f>
        <v>0</v>
      </c>
      <c r="L359" s="405">
        <f>'ведом 2024 пр.4'!K1940</f>
        <v>0</v>
      </c>
      <c r="M359" s="405">
        <f>'ведом 2024 пр.4'!L1940</f>
        <v>0</v>
      </c>
    </row>
    <row r="360" spans="1:13" ht="33.75" customHeight="1" x14ac:dyDescent="0.2">
      <c r="A360" s="406" t="str">
        <f>'ведом 2024 пр.4'!A1879</f>
        <v>Основное мероприятие "Приобретение специализированных транспортных средств для содержания автомобильных дорог общего пользования"</v>
      </c>
      <c r="B360" s="402"/>
      <c r="C360" s="402"/>
      <c r="D360" s="402"/>
      <c r="E360" s="403">
        <v>8531200000</v>
      </c>
      <c r="F360" s="402"/>
      <c r="G360" s="396"/>
      <c r="H360" s="405">
        <f t="shared" ref="H360:M360" si="113">H361</f>
        <v>10397.299999999999</v>
      </c>
      <c r="I360" s="405">
        <f t="shared" si="113"/>
        <v>0</v>
      </c>
      <c r="J360" s="405">
        <f t="shared" si="113"/>
        <v>10397.299999999999</v>
      </c>
      <c r="K360" s="405">
        <f t="shared" si="113"/>
        <v>0</v>
      </c>
      <c r="L360" s="405">
        <f t="shared" si="113"/>
        <v>0</v>
      </c>
      <c r="M360" s="405">
        <f t="shared" si="113"/>
        <v>0</v>
      </c>
    </row>
    <row r="361" spans="1:13" ht="30" x14ac:dyDescent="0.2">
      <c r="A361" s="408" t="s">
        <v>228</v>
      </c>
      <c r="B361" s="402"/>
      <c r="C361" s="402"/>
      <c r="D361" s="402"/>
      <c r="E361" s="403">
        <v>8531200000</v>
      </c>
      <c r="F361" s="402"/>
      <c r="G361" s="396">
        <v>961</v>
      </c>
      <c r="H361" s="405">
        <f>'ведом 2024 пр.4'!G1879+'ведом 2024 пр.4'!G1945</f>
        <v>10397.299999999999</v>
      </c>
      <c r="I361" s="405">
        <f>'ведом 2024 пр.4'!H1879+'ведом 2024 пр.4'!H1945</f>
        <v>0</v>
      </c>
      <c r="J361" s="405">
        <f>'ведом 2024 пр.4'!I1879+'ведом 2024 пр.4'!I1945</f>
        <v>10397.299999999999</v>
      </c>
      <c r="K361" s="405">
        <f>'ведом 2024 пр.4'!J1879+'ведом 2024 пр.4'!J1945</f>
        <v>0</v>
      </c>
      <c r="L361" s="405">
        <f>'ведом 2024 пр.4'!K1879+'ведом 2024 пр.4'!K1945</f>
        <v>0</v>
      </c>
      <c r="M361" s="405">
        <f>'ведом 2024 пр.4'!L1879+'ведом 2024 пр.4'!L1945</f>
        <v>0</v>
      </c>
    </row>
    <row r="362" spans="1:13" ht="30" x14ac:dyDescent="0.2">
      <c r="A362" s="406" t="str">
        <f>'ведом 2024 пр.4'!A1948</f>
        <v>Основное мероприятие "Разработка ПСД на ремонт участка автомобильной дороги Дутулур-Утата-Далахай от у.Енгорбой - у.Санага"</v>
      </c>
      <c r="B362" s="402"/>
      <c r="C362" s="402"/>
      <c r="D362" s="402"/>
      <c r="E362" s="403">
        <v>8531300000</v>
      </c>
      <c r="F362" s="402"/>
      <c r="G362" s="396"/>
      <c r="H362" s="405">
        <f t="shared" ref="H362:M362" si="114">H363</f>
        <v>7394.3099999999995</v>
      </c>
      <c r="I362" s="405">
        <f t="shared" si="114"/>
        <v>0</v>
      </c>
      <c r="J362" s="405">
        <f t="shared" si="114"/>
        <v>3845.3999999999996</v>
      </c>
      <c r="K362" s="405">
        <f t="shared" si="114"/>
        <v>0</v>
      </c>
      <c r="L362" s="405">
        <f t="shared" si="114"/>
        <v>-3548.91</v>
      </c>
      <c r="M362" s="405">
        <f t="shared" si="114"/>
        <v>0</v>
      </c>
    </row>
    <row r="363" spans="1:13" ht="30" x14ac:dyDescent="0.2">
      <c r="A363" s="408" t="s">
        <v>228</v>
      </c>
      <c r="B363" s="402"/>
      <c r="C363" s="402"/>
      <c r="D363" s="402"/>
      <c r="E363" s="403">
        <v>8531300000</v>
      </c>
      <c r="F363" s="402"/>
      <c r="G363" s="396">
        <v>961</v>
      </c>
      <c r="H363" s="405">
        <f>'ведом 2024 пр.4'!G1948</f>
        <v>7394.3099999999995</v>
      </c>
      <c r="I363" s="405">
        <f>'ведом 2024 пр.4'!H1948</f>
        <v>0</v>
      </c>
      <c r="J363" s="405">
        <f>'ведом 2024 пр.4'!I1948</f>
        <v>3845.3999999999996</v>
      </c>
      <c r="K363" s="405">
        <f>'ведом 2024 пр.4'!J1948</f>
        <v>0</v>
      </c>
      <c r="L363" s="405">
        <f>'ведом 2024 пр.4'!K1948</f>
        <v>-3548.91</v>
      </c>
      <c r="M363" s="405">
        <f>'ведом 2024 пр.4'!L1948</f>
        <v>0</v>
      </c>
    </row>
    <row r="364" spans="1:13" ht="45.75" customHeight="1" x14ac:dyDescent="0.2">
      <c r="A364" s="406" t="str">
        <f>'ведом 2024 пр.4'!A1955</f>
        <v>Основное мероприятие "Разработка ПСД на ремонт подъезда к у.Мыла от автомобильной дороги Ехэ-Цакир-Бортой-Цаган-Морин с устройством подъездов к зданию врачебной амбулатории в с.Баянгол, к зданиям детского сада и школы в у.Мыла"</v>
      </c>
      <c r="B364" s="402"/>
      <c r="C364" s="402"/>
      <c r="D364" s="402"/>
      <c r="E364" s="403">
        <v>8531400000</v>
      </c>
      <c r="F364" s="402"/>
      <c r="G364" s="396"/>
      <c r="H364" s="405">
        <f t="shared" ref="H364:M364" si="115">H365</f>
        <v>3656.1570000000002</v>
      </c>
      <c r="I364" s="405">
        <f t="shared" si="115"/>
        <v>0</v>
      </c>
      <c r="J364" s="405">
        <f t="shared" si="115"/>
        <v>3000</v>
      </c>
      <c r="K364" s="405">
        <f t="shared" si="115"/>
        <v>0</v>
      </c>
      <c r="L364" s="405">
        <f t="shared" si="115"/>
        <v>-656.15700000000015</v>
      </c>
      <c r="M364" s="405">
        <f t="shared" si="115"/>
        <v>0</v>
      </c>
    </row>
    <row r="365" spans="1:13" ht="30" x14ac:dyDescent="0.2">
      <c r="A365" s="408" t="s">
        <v>228</v>
      </c>
      <c r="B365" s="402"/>
      <c r="C365" s="402"/>
      <c r="D365" s="402"/>
      <c r="E365" s="403">
        <v>8531400000</v>
      </c>
      <c r="F365" s="402"/>
      <c r="G365" s="396">
        <v>961</v>
      </c>
      <c r="H365" s="405">
        <f>'ведом 2024 пр.4'!G1955</f>
        <v>3656.1570000000002</v>
      </c>
      <c r="I365" s="405">
        <f>'ведом 2024 пр.4'!H1955</f>
        <v>0</v>
      </c>
      <c r="J365" s="405">
        <f>'ведом 2024 пр.4'!I1955</f>
        <v>3000</v>
      </c>
      <c r="K365" s="405">
        <f>'ведом 2024 пр.4'!J1955</f>
        <v>0</v>
      </c>
      <c r="L365" s="405">
        <f>'ведом 2024 пр.4'!K1955</f>
        <v>-656.15700000000015</v>
      </c>
      <c r="M365" s="405">
        <f>'ведом 2024 пр.4'!L1955</f>
        <v>0</v>
      </c>
    </row>
    <row r="366" spans="1:13" ht="30" hidden="1" x14ac:dyDescent="0.2">
      <c r="A366" s="406" t="str">
        <f>'ведом 2024 пр.4'!A1960</f>
        <v>Основное мероприятие "Разработка ПСД на ремонт автодороги ул. Седлецкого, Партизанская, Холтонская, Горького, Спортивная в г. Закаменск"</v>
      </c>
      <c r="B366" s="402"/>
      <c r="C366" s="402"/>
      <c r="D366" s="402"/>
      <c r="E366" s="403">
        <v>8531500000</v>
      </c>
      <c r="F366" s="402"/>
      <c r="G366" s="396"/>
      <c r="H366" s="405">
        <f t="shared" ref="H366:M366" si="116">H367</f>
        <v>0</v>
      </c>
      <c r="I366" s="405">
        <f t="shared" si="116"/>
        <v>0</v>
      </c>
      <c r="J366" s="405">
        <f t="shared" si="116"/>
        <v>0</v>
      </c>
      <c r="K366" s="405">
        <f t="shared" si="116"/>
        <v>0</v>
      </c>
      <c r="L366" s="405">
        <f t="shared" si="116"/>
        <v>0</v>
      </c>
      <c r="M366" s="405">
        <f t="shared" si="116"/>
        <v>0</v>
      </c>
    </row>
    <row r="367" spans="1:13" ht="30" hidden="1" x14ac:dyDescent="0.2">
      <c r="A367" s="408" t="s">
        <v>228</v>
      </c>
      <c r="B367" s="402"/>
      <c r="C367" s="402"/>
      <c r="D367" s="402"/>
      <c r="E367" s="403">
        <v>8531500000</v>
      </c>
      <c r="F367" s="402"/>
      <c r="G367" s="396">
        <v>961</v>
      </c>
      <c r="H367" s="405">
        <f>'ведом 2024 пр.4'!G1960</f>
        <v>0</v>
      </c>
      <c r="I367" s="405">
        <f>'ведом 2024 пр.4'!H1960</f>
        <v>0</v>
      </c>
      <c r="J367" s="405">
        <f>'ведом 2024 пр.4'!I1960</f>
        <v>0</v>
      </c>
      <c r="K367" s="405">
        <f>'ведом 2024 пр.4'!J1960</f>
        <v>0</v>
      </c>
      <c r="L367" s="405">
        <f>'ведом 2024 пр.4'!K1960</f>
        <v>0</v>
      </c>
      <c r="M367" s="405">
        <f>'ведом 2024 пр.4'!L1960</f>
        <v>0</v>
      </c>
    </row>
    <row r="368" spans="1:13" ht="30" x14ac:dyDescent="0.2">
      <c r="A368" s="406" t="str">
        <f>'ведом 2024 пр.4'!A1963</f>
        <v>Основное мероприятие "Прохождение государственной экспертизы проектно-сметной документации "Капитальный ремонт автомобильной дороги Закаменск - Холтосон"</v>
      </c>
      <c r="B368" s="402"/>
      <c r="C368" s="402"/>
      <c r="D368" s="402"/>
      <c r="E368" s="403">
        <v>8531600000</v>
      </c>
      <c r="F368" s="402"/>
      <c r="G368" s="396"/>
      <c r="H368" s="405">
        <f t="shared" ref="H368:M368" si="117">H369</f>
        <v>500</v>
      </c>
      <c r="I368" s="405">
        <f t="shared" si="117"/>
        <v>0</v>
      </c>
      <c r="J368" s="405">
        <f t="shared" si="117"/>
        <v>500</v>
      </c>
      <c r="K368" s="405">
        <f t="shared" si="117"/>
        <v>0</v>
      </c>
      <c r="L368" s="405">
        <f t="shared" si="117"/>
        <v>0</v>
      </c>
      <c r="M368" s="405">
        <f t="shared" si="117"/>
        <v>0</v>
      </c>
    </row>
    <row r="369" spans="1:20" ht="30" x14ac:dyDescent="0.2">
      <c r="A369" s="408" t="s">
        <v>228</v>
      </c>
      <c r="B369" s="402"/>
      <c r="C369" s="402"/>
      <c r="D369" s="402"/>
      <c r="E369" s="403">
        <v>8531600000</v>
      </c>
      <c r="F369" s="402"/>
      <c r="G369" s="396">
        <v>961</v>
      </c>
      <c r="H369" s="405">
        <f>'ведом 2024 пр.4'!G1963</f>
        <v>500</v>
      </c>
      <c r="I369" s="405">
        <f>'ведом 2024 пр.4'!H1963</f>
        <v>0</v>
      </c>
      <c r="J369" s="405">
        <f>'ведом 2024 пр.4'!I1963</f>
        <v>500</v>
      </c>
      <c r="K369" s="405">
        <f>'ведом 2024 пр.4'!J1963</f>
        <v>0</v>
      </c>
      <c r="L369" s="405">
        <f>'ведом 2024 пр.4'!K1963</f>
        <v>0</v>
      </c>
      <c r="M369" s="405">
        <f>'ведом 2024 пр.4'!L1963</f>
        <v>0</v>
      </c>
    </row>
    <row r="370" spans="1:20" x14ac:dyDescent="0.2">
      <c r="A370" s="406" t="str">
        <f>'ведом 2024 пр.4'!A1966</f>
        <v>Национальный проект «Безопасные качественные дороги»</v>
      </c>
      <c r="B370" s="402"/>
      <c r="C370" s="402"/>
      <c r="D370" s="402"/>
      <c r="E370" s="403" t="s">
        <v>1684</v>
      </c>
      <c r="F370" s="402"/>
      <c r="G370" s="396"/>
      <c r="H370" s="405">
        <f t="shared" ref="H370:M371" si="118">H371</f>
        <v>52061.631999999998</v>
      </c>
      <c r="I370" s="405">
        <f t="shared" si="118"/>
        <v>50000</v>
      </c>
      <c r="J370" s="405">
        <f t="shared" si="118"/>
        <v>52061.631999999998</v>
      </c>
      <c r="K370" s="405">
        <f t="shared" si="118"/>
        <v>50000</v>
      </c>
      <c r="L370" s="405">
        <f t="shared" si="118"/>
        <v>0</v>
      </c>
      <c r="M370" s="405">
        <f t="shared" si="118"/>
        <v>0</v>
      </c>
    </row>
    <row r="371" spans="1:20" x14ac:dyDescent="0.2">
      <c r="A371" s="406" t="str">
        <f>'ведом 2024 пр.4'!A1967</f>
        <v>Федеральный проект «Региональная и местная дорожная сеть»</v>
      </c>
      <c r="B371" s="402"/>
      <c r="C371" s="402"/>
      <c r="D371" s="402"/>
      <c r="E371" s="403" t="s">
        <v>1685</v>
      </c>
      <c r="F371" s="402"/>
      <c r="G371" s="396"/>
      <c r="H371" s="405">
        <f t="shared" si="118"/>
        <v>52061.631999999998</v>
      </c>
      <c r="I371" s="405">
        <f t="shared" si="118"/>
        <v>50000</v>
      </c>
      <c r="J371" s="405">
        <f t="shared" si="118"/>
        <v>52061.631999999998</v>
      </c>
      <c r="K371" s="405">
        <f t="shared" si="118"/>
        <v>50000</v>
      </c>
      <c r="L371" s="405">
        <f t="shared" si="118"/>
        <v>0</v>
      </c>
      <c r="M371" s="405">
        <f t="shared" si="118"/>
        <v>0</v>
      </c>
    </row>
    <row r="372" spans="1:20" ht="30" x14ac:dyDescent="0.2">
      <c r="A372" s="408" t="s">
        <v>228</v>
      </c>
      <c r="B372" s="402"/>
      <c r="C372" s="402"/>
      <c r="D372" s="402"/>
      <c r="E372" s="403" t="s">
        <v>1685</v>
      </c>
      <c r="F372" s="402"/>
      <c r="G372" s="396">
        <v>961</v>
      </c>
      <c r="H372" s="405">
        <f>'ведом 2024 пр.4'!G1967</f>
        <v>52061.631999999998</v>
      </c>
      <c r="I372" s="405">
        <f>'ведом 2024 пр.4'!H1967</f>
        <v>50000</v>
      </c>
      <c r="J372" s="405">
        <f>'ведом 2024 пр.4'!I1967</f>
        <v>52061.631999999998</v>
      </c>
      <c r="K372" s="405">
        <f>'ведом 2024 пр.4'!J1967</f>
        <v>50000</v>
      </c>
      <c r="L372" s="405">
        <f>'ведом 2024 пр.4'!K1967</f>
        <v>0</v>
      </c>
      <c r="M372" s="405">
        <f>'ведом 2024 пр.4'!L1967</f>
        <v>0</v>
      </c>
      <c r="N372" s="160" t="s">
        <v>1613</v>
      </c>
    </row>
    <row r="373" spans="1:20" ht="30" x14ac:dyDescent="0.2">
      <c r="A373" s="406" t="str">
        <f>'ведом 2024 пр.4'!A1882</f>
        <v>Подпрограмма "Транспортное обслуживание населения на территории муниципального образования "Закаменский район""</v>
      </c>
      <c r="B373" s="402"/>
      <c r="C373" s="402"/>
      <c r="D373" s="402"/>
      <c r="E373" s="403">
        <v>8540000000</v>
      </c>
      <c r="F373" s="402"/>
      <c r="G373" s="396"/>
      <c r="H373" s="405">
        <f>H374</f>
        <v>360</v>
      </c>
      <c r="I373" s="405">
        <f t="shared" ref="I373:M374" si="119">I374</f>
        <v>0</v>
      </c>
      <c r="J373" s="405">
        <f t="shared" si="119"/>
        <v>360</v>
      </c>
      <c r="K373" s="405">
        <f t="shared" si="119"/>
        <v>0</v>
      </c>
      <c r="L373" s="405">
        <f t="shared" si="119"/>
        <v>0</v>
      </c>
      <c r="M373" s="405">
        <f t="shared" si="119"/>
        <v>0</v>
      </c>
      <c r="N373" s="160"/>
    </row>
    <row r="374" spans="1:20" ht="30" x14ac:dyDescent="0.2">
      <c r="A374" s="406" t="str">
        <f>'ведом 2024 пр.4'!A1883</f>
        <v>Основное мероприятие "Возмещение затрат или недополученных доходов от предоставления транспортных услуг населению в границах муниципального образования "Закаменский район"</v>
      </c>
      <c r="B374" s="402"/>
      <c r="C374" s="402"/>
      <c r="D374" s="402"/>
      <c r="E374" s="403">
        <v>8540400000</v>
      </c>
      <c r="F374" s="402"/>
      <c r="G374" s="396"/>
      <c r="H374" s="405">
        <f>H375</f>
        <v>360</v>
      </c>
      <c r="I374" s="405">
        <f t="shared" si="119"/>
        <v>0</v>
      </c>
      <c r="J374" s="405">
        <f t="shared" si="119"/>
        <v>360</v>
      </c>
      <c r="K374" s="405">
        <f t="shared" si="119"/>
        <v>0</v>
      </c>
      <c r="L374" s="405">
        <f t="shared" si="119"/>
        <v>0</v>
      </c>
      <c r="M374" s="405">
        <f t="shared" si="119"/>
        <v>0</v>
      </c>
      <c r="N374" s="160"/>
    </row>
    <row r="375" spans="1:20" ht="30" x14ac:dyDescent="0.2">
      <c r="A375" s="408" t="s">
        <v>228</v>
      </c>
      <c r="B375" s="402"/>
      <c r="C375" s="402"/>
      <c r="D375" s="402"/>
      <c r="E375" s="403">
        <v>8540400000</v>
      </c>
      <c r="F375" s="402"/>
      <c r="G375" s="396">
        <v>961</v>
      </c>
      <c r="H375" s="405">
        <f>'ведом 2024 пр.4'!G1883</f>
        <v>360</v>
      </c>
      <c r="I375" s="405">
        <f>'ведом 2024 пр.4'!H1883</f>
        <v>0</v>
      </c>
      <c r="J375" s="405">
        <f>'ведом 2024 пр.4'!I1883</f>
        <v>360</v>
      </c>
      <c r="K375" s="405">
        <f>'ведом 2024 пр.4'!J1883</f>
        <v>0</v>
      </c>
      <c r="L375" s="405">
        <f>'ведом 2024 пр.4'!K1883</f>
        <v>0</v>
      </c>
      <c r="M375" s="405">
        <f>'ведом 2024 пр.4'!L1883</f>
        <v>0</v>
      </c>
      <c r="N375" s="160"/>
    </row>
    <row r="376" spans="1:20" ht="40.5" hidden="1" customHeight="1" x14ac:dyDescent="0.2">
      <c r="A376" s="555" t="str">
        <f>'ведом 2024 пр.4'!A2037</f>
        <v xml:space="preserve">      Муниципальная адресная программа по переселению граждан из аварийного жилищного фонда на территории Закаменского района, признанного до 1 января 2017 года, на период 2019-2024 годов</v>
      </c>
      <c r="B376" s="402"/>
      <c r="C376" s="402"/>
      <c r="D376" s="402"/>
      <c r="E376" s="559">
        <v>8600000000</v>
      </c>
      <c r="F376" s="402"/>
      <c r="G376" s="563"/>
      <c r="H376" s="560">
        <f>H377</f>
        <v>0</v>
      </c>
      <c r="I376" s="560">
        <f t="shared" ref="I376:K378" si="120">I377</f>
        <v>0</v>
      </c>
      <c r="J376" s="560">
        <f>J377</f>
        <v>0</v>
      </c>
      <c r="K376" s="560">
        <f t="shared" si="120"/>
        <v>0</v>
      </c>
      <c r="L376" s="560">
        <f t="shared" ref="L376:L390" si="121">J376-H376</f>
        <v>0</v>
      </c>
      <c r="M376" s="560">
        <f t="shared" ref="M376:M390" si="122">K376-I376</f>
        <v>0</v>
      </c>
      <c r="N376" s="39">
        <f>H376-'ведом 2024 пр.4'!G2399</f>
        <v>0</v>
      </c>
      <c r="O376" s="39">
        <f>I376-'ведом 2024 пр.4'!H2399</f>
        <v>0</v>
      </c>
      <c r="P376" s="39">
        <f>J376-'ведом 2024 пр.4'!I2399</f>
        <v>0</v>
      </c>
      <c r="Q376" s="39">
        <f>K376-'ведом 2024 пр.4'!J2399</f>
        <v>0</v>
      </c>
      <c r="R376" s="39">
        <f>'ведом 2024 пр.4'!M2399-'мп 2024 справ'!N376</f>
        <v>0</v>
      </c>
      <c r="S376" s="39">
        <f>'ведом 2024 пр.4'!N2399-'мп 2024 справ'!O376</f>
        <v>0</v>
      </c>
      <c r="T376" s="39">
        <f>'ведом 2024 пр.4'!O2399-'мп 2024 справ'!P376</f>
        <v>0</v>
      </c>
    </row>
    <row r="377" spans="1:20" ht="23.25" hidden="1" customHeight="1" x14ac:dyDescent="0.2">
      <c r="A377" s="408" t="s">
        <v>1138</v>
      </c>
      <c r="B377" s="402"/>
      <c r="C377" s="402"/>
      <c r="D377" s="402"/>
      <c r="E377" s="403" t="s">
        <v>1158</v>
      </c>
      <c r="F377" s="402"/>
      <c r="G377" s="396"/>
      <c r="H377" s="405">
        <f>H378</f>
        <v>0</v>
      </c>
      <c r="I377" s="405">
        <f t="shared" si="120"/>
        <v>0</v>
      </c>
      <c r="J377" s="405">
        <f>J378</f>
        <v>0</v>
      </c>
      <c r="K377" s="405">
        <f t="shared" si="120"/>
        <v>0</v>
      </c>
      <c r="L377" s="405">
        <f t="shared" si="121"/>
        <v>0</v>
      </c>
      <c r="M377" s="405">
        <f t="shared" si="122"/>
        <v>0</v>
      </c>
      <c r="N377" s="39"/>
    </row>
    <row r="378" spans="1:20" ht="32.25" hidden="1" customHeight="1" x14ac:dyDescent="0.2">
      <c r="A378" s="408" t="str">
        <f>'ведом 2024 пр.4'!A2039</f>
        <v xml:space="preserve">          Федеральный проект "Обеспечение устойчивого сокращения непригодного для проживания жилищного фонда"</v>
      </c>
      <c r="B378" s="402"/>
      <c r="C378" s="402"/>
      <c r="D378" s="402"/>
      <c r="E378" s="403" t="s">
        <v>1055</v>
      </c>
      <c r="F378" s="402"/>
      <c r="G378" s="396"/>
      <c r="H378" s="405">
        <f>H379</f>
        <v>0</v>
      </c>
      <c r="I378" s="405">
        <f t="shared" si="120"/>
        <v>0</v>
      </c>
      <c r="J378" s="405">
        <f>J379</f>
        <v>0</v>
      </c>
      <c r="K378" s="405">
        <f t="shared" si="120"/>
        <v>0</v>
      </c>
      <c r="L378" s="405">
        <f t="shared" si="121"/>
        <v>0</v>
      </c>
      <c r="M378" s="405">
        <f t="shared" si="122"/>
        <v>0</v>
      </c>
    </row>
    <row r="379" spans="1:20" ht="32.25" hidden="1" customHeight="1" x14ac:dyDescent="0.2">
      <c r="A379" s="408" t="s">
        <v>228</v>
      </c>
      <c r="B379" s="402"/>
      <c r="C379" s="402"/>
      <c r="D379" s="402"/>
      <c r="E379" s="403" t="s">
        <v>1055</v>
      </c>
      <c r="F379" s="402"/>
      <c r="G379" s="396">
        <v>961</v>
      </c>
      <c r="H379" s="405">
        <f>'ведом 2024 пр.4'!G2039</f>
        <v>0</v>
      </c>
      <c r="I379" s="405">
        <f>'ведом 2024 пр.4'!H2039</f>
        <v>0</v>
      </c>
      <c r="J379" s="405">
        <f>'ведом 2024 пр.4'!I2039</f>
        <v>0</v>
      </c>
      <c r="K379" s="405">
        <f>'ведом 2024 пр.4'!J2039</f>
        <v>0</v>
      </c>
      <c r="L379" s="405">
        <f t="shared" si="121"/>
        <v>0</v>
      </c>
      <c r="M379" s="405">
        <f t="shared" si="122"/>
        <v>0</v>
      </c>
    </row>
    <row r="380" spans="1:20" ht="28.5" x14ac:dyDescent="0.2">
      <c r="A380" s="555" t="str">
        <f>'ведом 2024 пр.4'!A1348</f>
        <v>Муниципальная программа "Развитие и поддержка территориальных общественных самоуправлений на территории МО "Закаменский район"</v>
      </c>
      <c r="B380" s="624"/>
      <c r="C380" s="624"/>
      <c r="D380" s="624"/>
      <c r="E380" s="559">
        <v>8700000000</v>
      </c>
      <c r="F380" s="624"/>
      <c r="G380" s="563"/>
      <c r="H380" s="560">
        <f t="shared" ref="H380:M380" si="123">H381+H383+H385</f>
        <v>1082</v>
      </c>
      <c r="I380" s="560">
        <f t="shared" si="123"/>
        <v>0</v>
      </c>
      <c r="J380" s="560">
        <f t="shared" si="123"/>
        <v>1082</v>
      </c>
      <c r="K380" s="560">
        <f t="shared" si="123"/>
        <v>0</v>
      </c>
      <c r="L380" s="560">
        <f t="shared" si="123"/>
        <v>0</v>
      </c>
      <c r="M380" s="560">
        <f t="shared" si="123"/>
        <v>0</v>
      </c>
      <c r="N380" s="39">
        <f>H380-'ведом 2024 пр.4'!G2400</f>
        <v>0</v>
      </c>
      <c r="O380" s="39">
        <f>I380-'ведом 2024 пр.4'!H2400</f>
        <v>0</v>
      </c>
      <c r="P380" s="39">
        <f>J380-'ведом 2024 пр.4'!I2400</f>
        <v>0</v>
      </c>
      <c r="Q380" s="39">
        <f>K380-'ведом 2024 пр.4'!J2400</f>
        <v>0</v>
      </c>
    </row>
    <row r="381" spans="1:20" ht="30" x14ac:dyDescent="0.2">
      <c r="A381" s="408" t="str">
        <f>'ведом 2024 пр.4'!A1349</f>
        <v>Основное мероприятие "Организация и проведение конкурсов среди территориальных общественных самоуправлений МО "Закаменский район""</v>
      </c>
      <c r="B381" s="402"/>
      <c r="C381" s="402"/>
      <c r="D381" s="402"/>
      <c r="E381" s="403">
        <v>8700500000</v>
      </c>
      <c r="F381" s="402"/>
      <c r="G381" s="396"/>
      <c r="H381" s="405">
        <f>H382</f>
        <v>982</v>
      </c>
      <c r="I381" s="405">
        <f>I382</f>
        <v>0</v>
      </c>
      <c r="J381" s="405">
        <f>J382</f>
        <v>982</v>
      </c>
      <c r="K381" s="405">
        <f>K382</f>
        <v>0</v>
      </c>
      <c r="L381" s="405">
        <f t="shared" si="121"/>
        <v>0</v>
      </c>
      <c r="M381" s="405">
        <f t="shared" si="122"/>
        <v>0</v>
      </c>
    </row>
    <row r="382" spans="1:20" x14ac:dyDescent="0.2">
      <c r="A382" s="408" t="s">
        <v>73</v>
      </c>
      <c r="B382" s="402"/>
      <c r="C382" s="402"/>
      <c r="D382" s="402"/>
      <c r="E382" s="403">
        <v>8700500000</v>
      </c>
      <c r="F382" s="402"/>
      <c r="G382" s="396">
        <v>959</v>
      </c>
      <c r="H382" s="405">
        <f>'ведом 2024 пр.4'!G1349</f>
        <v>982</v>
      </c>
      <c r="I382" s="405">
        <f>'ведом 2024 пр.4'!H1349</f>
        <v>0</v>
      </c>
      <c r="J382" s="405">
        <f>'ведом 2024 пр.4'!I1349</f>
        <v>982</v>
      </c>
      <c r="K382" s="405">
        <f>'ведом 2024 пр.4'!J1349</f>
        <v>0</v>
      </c>
      <c r="L382" s="405">
        <f t="shared" si="121"/>
        <v>0</v>
      </c>
      <c r="M382" s="405">
        <f t="shared" si="122"/>
        <v>0</v>
      </c>
    </row>
    <row r="383" spans="1:20" x14ac:dyDescent="0.2">
      <c r="A383" s="406" t="str">
        <f>'ведом 2024 пр.4'!A1353</f>
        <v>Основное мероприятие "Изготовление полиграфической и рекламной продукции, производство видеороликов""</v>
      </c>
      <c r="B383" s="402"/>
      <c r="C383" s="402"/>
      <c r="D383" s="402"/>
      <c r="E383" s="403">
        <v>8700600000</v>
      </c>
      <c r="F383" s="402"/>
      <c r="G383" s="396"/>
      <c r="H383" s="405">
        <f>H384</f>
        <v>85</v>
      </c>
      <c r="I383" s="405">
        <f>I384</f>
        <v>0</v>
      </c>
      <c r="J383" s="405">
        <f>J384</f>
        <v>85</v>
      </c>
      <c r="K383" s="405">
        <f>K384</f>
        <v>0</v>
      </c>
      <c r="L383" s="405">
        <f t="shared" si="121"/>
        <v>0</v>
      </c>
      <c r="M383" s="405">
        <f t="shared" si="122"/>
        <v>0</v>
      </c>
    </row>
    <row r="384" spans="1:20" x14ac:dyDescent="0.2">
      <c r="A384" s="408" t="s">
        <v>73</v>
      </c>
      <c r="B384" s="402"/>
      <c r="C384" s="402"/>
      <c r="D384" s="402"/>
      <c r="E384" s="403">
        <v>8700600000</v>
      </c>
      <c r="F384" s="402"/>
      <c r="G384" s="396">
        <v>959</v>
      </c>
      <c r="H384" s="405">
        <f>'ведом 2024 пр.4'!G1353</f>
        <v>85</v>
      </c>
      <c r="I384" s="405">
        <f>'ведом 2024 пр.4'!H1353</f>
        <v>0</v>
      </c>
      <c r="J384" s="405">
        <f>'ведом 2024 пр.4'!I1353</f>
        <v>85</v>
      </c>
      <c r="K384" s="405">
        <f>'ведом 2024 пр.4'!J1353</f>
        <v>0</v>
      </c>
      <c r="L384" s="405">
        <f t="shared" si="121"/>
        <v>0</v>
      </c>
      <c r="M384" s="405">
        <f t="shared" si="122"/>
        <v>0</v>
      </c>
    </row>
    <row r="385" spans="1:22" ht="33.75" customHeight="1" x14ac:dyDescent="0.2">
      <c r="A385" s="406" t="str">
        <f>'ведом 2024 пр.4'!A1356</f>
        <v>Основное мероприятие "Организация и проведение событийных тематических мероприятий на территории Закаменского района"</v>
      </c>
      <c r="B385" s="402"/>
      <c r="C385" s="402"/>
      <c r="D385" s="402"/>
      <c r="E385" s="403">
        <v>8700700000</v>
      </c>
      <c r="F385" s="402"/>
      <c r="G385" s="396"/>
      <c r="H385" s="405">
        <f t="shared" ref="H385:M385" si="124">H386</f>
        <v>15</v>
      </c>
      <c r="I385" s="405">
        <f t="shared" si="124"/>
        <v>0</v>
      </c>
      <c r="J385" s="405">
        <f t="shared" si="124"/>
        <v>15</v>
      </c>
      <c r="K385" s="405">
        <f t="shared" si="124"/>
        <v>0</v>
      </c>
      <c r="L385" s="405">
        <f t="shared" si="124"/>
        <v>0</v>
      </c>
      <c r="M385" s="405">
        <f t="shared" si="124"/>
        <v>0</v>
      </c>
    </row>
    <row r="386" spans="1:22" x14ac:dyDescent="0.2">
      <c r="A386" s="408" t="s">
        <v>73</v>
      </c>
      <c r="B386" s="402"/>
      <c r="C386" s="402"/>
      <c r="D386" s="402"/>
      <c r="E386" s="403">
        <v>8700700000</v>
      </c>
      <c r="F386" s="402"/>
      <c r="G386" s="396">
        <v>959</v>
      </c>
      <c r="H386" s="405">
        <f>'ведом 2024 пр.4'!G1356</f>
        <v>15</v>
      </c>
      <c r="I386" s="405">
        <f>'ведом 2024 пр.4'!H1356</f>
        <v>0</v>
      </c>
      <c r="J386" s="405">
        <f>'ведом 2024 пр.4'!I1356</f>
        <v>15</v>
      </c>
      <c r="K386" s="405">
        <f>'ведом 2024 пр.4'!J1356</f>
        <v>0</v>
      </c>
      <c r="L386" s="405">
        <f>'ведом 2024 пр.4'!K1356</f>
        <v>0</v>
      </c>
      <c r="M386" s="405">
        <f>'ведом 2024 пр.4'!L1356</f>
        <v>0</v>
      </c>
    </row>
    <row r="387" spans="1:22" ht="28.5" hidden="1" x14ac:dyDescent="0.2">
      <c r="A387" s="555" t="str">
        <f>'ведом 2024 пр.4'!A108</f>
        <v>Муниципальная программа "Развитие сельскохозяйственной потребительской кооперации в муниципальном образовании "Закаменский район" Республики Бурятия на 2018-2023 годы"</v>
      </c>
      <c r="B387" s="402"/>
      <c r="C387" s="402"/>
      <c r="D387" s="402"/>
      <c r="E387" s="559">
        <v>8800000000</v>
      </c>
      <c r="F387" s="402"/>
      <c r="G387" s="563"/>
      <c r="H387" s="560">
        <f>H388</f>
        <v>0</v>
      </c>
      <c r="I387" s="560">
        <f t="shared" ref="I387:K388" si="125">I388</f>
        <v>0</v>
      </c>
      <c r="J387" s="560">
        <f>J388</f>
        <v>0</v>
      </c>
      <c r="K387" s="560">
        <f t="shared" si="125"/>
        <v>0</v>
      </c>
      <c r="L387" s="560">
        <f t="shared" si="121"/>
        <v>0</v>
      </c>
      <c r="M387" s="560">
        <f t="shared" si="122"/>
        <v>0</v>
      </c>
      <c r="N387" s="549">
        <f>H387-'ведом 2024 пр.4'!G2401</f>
        <v>0</v>
      </c>
      <c r="O387" s="549">
        <f>I387-'ведом 2024 пр.4'!H2401</f>
        <v>0</v>
      </c>
      <c r="P387" s="549">
        <f>J387-'ведом 2024 пр.4'!I2401</f>
        <v>0</v>
      </c>
      <c r="Q387" s="549">
        <f>K387-'ведом 2024 пр.4'!J2401</f>
        <v>0</v>
      </c>
      <c r="R387" s="39">
        <f>L387-'ведом 2024 пр.4'!K2401</f>
        <v>0</v>
      </c>
      <c r="S387" s="39">
        <f>M387-'ведом 2024 пр.4'!L2401</f>
        <v>0</v>
      </c>
      <c r="T387" s="39">
        <f>N387-'ведом 2024 пр.4'!M2401</f>
        <v>0</v>
      </c>
    </row>
    <row r="388" spans="1:22" hidden="1" x14ac:dyDescent="0.2">
      <c r="A388" s="408" t="str">
        <f>'ведом 2024 пр.4'!A109</f>
        <v>Основное мероприятие "Организация и поддержка рынков сбыта сельскохозяйственной потребительской кооперации"</v>
      </c>
      <c r="B388" s="402"/>
      <c r="C388" s="402"/>
      <c r="D388" s="402"/>
      <c r="E388" s="407" t="str">
        <f>'ведом 2024 пр.4'!E109</f>
        <v>8800500000</v>
      </c>
      <c r="F388" s="402"/>
      <c r="G388" s="396"/>
      <c r="H388" s="405">
        <f>H389</f>
        <v>0</v>
      </c>
      <c r="I388" s="405">
        <f t="shared" si="125"/>
        <v>0</v>
      </c>
      <c r="J388" s="405">
        <f>J389</f>
        <v>0</v>
      </c>
      <c r="K388" s="405">
        <f t="shared" si="125"/>
        <v>0</v>
      </c>
      <c r="L388" s="405">
        <f t="shared" si="121"/>
        <v>0</v>
      </c>
      <c r="M388" s="405">
        <f t="shared" si="122"/>
        <v>0</v>
      </c>
    </row>
    <row r="389" spans="1:22" ht="30" hidden="1" x14ac:dyDescent="0.2">
      <c r="A389" s="408" t="s">
        <v>973</v>
      </c>
      <c r="B389" s="402"/>
      <c r="C389" s="402"/>
      <c r="D389" s="402"/>
      <c r="E389" s="407" t="str">
        <f>'ведом 2024 пр.4'!E110</f>
        <v>8800582070</v>
      </c>
      <c r="F389" s="402"/>
      <c r="G389" s="396">
        <v>922</v>
      </c>
      <c r="H389" s="405">
        <f>'ведом 2024 пр.4'!G109</f>
        <v>0</v>
      </c>
      <c r="I389" s="405">
        <f>'ведом 2024 пр.4'!H109</f>
        <v>0</v>
      </c>
      <c r="J389" s="405">
        <f>'ведом 2024 пр.4'!I109</f>
        <v>0</v>
      </c>
      <c r="K389" s="405">
        <f>'ведом 2024 пр.4'!J109</f>
        <v>0</v>
      </c>
      <c r="L389" s="405">
        <f t="shared" si="121"/>
        <v>0</v>
      </c>
      <c r="M389" s="405">
        <f t="shared" si="122"/>
        <v>0</v>
      </c>
    </row>
    <row r="390" spans="1:22" ht="28.5" x14ac:dyDescent="0.2">
      <c r="A390" s="555" t="str">
        <f>'ведом 2024 пр.4'!A212</f>
        <v>Муниципальная программа "Комплексное развитие сельских территорий Муниципального образования "Закаменский район" на 2020-2022 годы и на период до 2024 года"</v>
      </c>
      <c r="B390" s="402"/>
      <c r="C390" s="402"/>
      <c r="D390" s="402"/>
      <c r="E390" s="559">
        <v>8900000000</v>
      </c>
      <c r="F390" s="402"/>
      <c r="G390" s="563"/>
      <c r="H390" s="560">
        <f>H391+H393+H395+H397+H404</f>
        <v>371940.72320999997</v>
      </c>
      <c r="I390" s="560">
        <f>I391+I393+I395+I397+I404</f>
        <v>323287.8909</v>
      </c>
      <c r="J390" s="560">
        <f>J391+J393+J395+J397+J404</f>
        <v>371940.72320999997</v>
      </c>
      <c r="K390" s="560">
        <f>K391+K393+K395+K397+K404</f>
        <v>323287.8909</v>
      </c>
      <c r="L390" s="560">
        <f t="shared" si="121"/>
        <v>0</v>
      </c>
      <c r="M390" s="560">
        <f t="shared" si="122"/>
        <v>0</v>
      </c>
      <c r="N390" s="549">
        <f>H390-'ведом 2024 пр.4'!G2402</f>
        <v>0</v>
      </c>
      <c r="O390" s="549">
        <f>I390-'ведом 2024 пр.4'!H2402</f>
        <v>0</v>
      </c>
      <c r="P390" s="549">
        <f>J390-'ведом 2024 пр.4'!I2402</f>
        <v>0</v>
      </c>
      <c r="Q390" s="549">
        <f>K390-'ведом 2024 пр.4'!J2402</f>
        <v>0</v>
      </c>
      <c r="R390" s="549"/>
      <c r="S390" s="549"/>
      <c r="T390" s="549"/>
      <c r="U390" s="549"/>
      <c r="V390" s="549"/>
    </row>
    <row r="391" spans="1:22" ht="30" x14ac:dyDescent="0.2">
      <c r="A391" s="406" t="str">
        <f>'ведом 2024 пр.4'!A113</f>
        <v>Основное мероприятие "Реализация проектов по благоустройству сельских территорий (создание и обустройство некоммерческих детских игровых и спортивных площадок)"</v>
      </c>
      <c r="B391" s="402"/>
      <c r="C391" s="402"/>
      <c r="D391" s="402"/>
      <c r="E391" s="407" t="s">
        <v>1207</v>
      </c>
      <c r="F391" s="402"/>
      <c r="G391" s="396"/>
      <c r="H391" s="405">
        <f t="shared" ref="H391:M391" si="126">H392</f>
        <v>320</v>
      </c>
      <c r="I391" s="405">
        <f t="shared" si="126"/>
        <v>0</v>
      </c>
      <c r="J391" s="405">
        <f t="shared" si="126"/>
        <v>320</v>
      </c>
      <c r="K391" s="405">
        <f t="shared" si="126"/>
        <v>0</v>
      </c>
      <c r="L391" s="405">
        <f t="shared" si="126"/>
        <v>0</v>
      </c>
      <c r="M391" s="405">
        <f t="shared" si="126"/>
        <v>0</v>
      </c>
    </row>
    <row r="392" spans="1:22" ht="30" x14ac:dyDescent="0.2">
      <c r="A392" s="408" t="s">
        <v>973</v>
      </c>
      <c r="B392" s="402"/>
      <c r="C392" s="402"/>
      <c r="D392" s="402"/>
      <c r="E392" s="407" t="s">
        <v>1207</v>
      </c>
      <c r="F392" s="402"/>
      <c r="G392" s="396">
        <v>922</v>
      </c>
      <c r="H392" s="405">
        <f>'ведом 2024 пр.4'!G113</f>
        <v>320</v>
      </c>
      <c r="I392" s="405">
        <f>'ведом 2024 пр.4'!H113</f>
        <v>0</v>
      </c>
      <c r="J392" s="405">
        <f>'ведом 2024 пр.4'!I113</f>
        <v>320</v>
      </c>
      <c r="K392" s="405">
        <f>'ведом 2024 пр.4'!J113</f>
        <v>0</v>
      </c>
      <c r="L392" s="405">
        <f>'ведом 2024 пр.4'!K113</f>
        <v>0</v>
      </c>
      <c r="M392" s="405">
        <f>'ведом 2024 пр.4'!L113</f>
        <v>0</v>
      </c>
    </row>
    <row r="393" spans="1:22" ht="30" hidden="1" customHeight="1" x14ac:dyDescent="0.2">
      <c r="A393" s="406" t="str">
        <f>'ведом 2024 пр.4'!A116</f>
        <v xml:space="preserve"> Основное мероприятие "Развитие сети плоскостных спортивных сооружений на сельских территориях"</v>
      </c>
      <c r="B393" s="402"/>
      <c r="C393" s="402"/>
      <c r="D393" s="402"/>
      <c r="E393" s="407" t="s">
        <v>1251</v>
      </c>
      <c r="F393" s="402"/>
      <c r="G393" s="396"/>
      <c r="H393" s="405">
        <f t="shared" ref="H393:M393" si="127">H394</f>
        <v>0</v>
      </c>
      <c r="I393" s="405">
        <f t="shared" si="127"/>
        <v>0</v>
      </c>
      <c r="J393" s="405">
        <f t="shared" si="127"/>
        <v>0</v>
      </c>
      <c r="K393" s="405">
        <f t="shared" si="127"/>
        <v>0</v>
      </c>
      <c r="L393" s="405">
        <f t="shared" si="127"/>
        <v>0</v>
      </c>
      <c r="M393" s="405">
        <f t="shared" si="127"/>
        <v>0</v>
      </c>
    </row>
    <row r="394" spans="1:22" ht="30" hidden="1" customHeight="1" x14ac:dyDescent="0.2">
      <c r="A394" s="408" t="s">
        <v>973</v>
      </c>
      <c r="B394" s="402"/>
      <c r="C394" s="402"/>
      <c r="D394" s="402"/>
      <c r="E394" s="407" t="s">
        <v>1251</v>
      </c>
      <c r="F394" s="402"/>
      <c r="G394" s="396">
        <v>922</v>
      </c>
      <c r="H394" s="405">
        <f>'ведом 2024 пр.4'!G116</f>
        <v>0</v>
      </c>
      <c r="I394" s="405">
        <f>'ведом 2024 пр.4'!H116</f>
        <v>0</v>
      </c>
      <c r="J394" s="405">
        <f>'ведом 2024 пр.4'!I116</f>
        <v>0</v>
      </c>
      <c r="K394" s="405">
        <f>'ведом 2024 пр.4'!J116</f>
        <v>0</v>
      </c>
      <c r="L394" s="405">
        <f>'ведом 2024 пр.4'!K116</f>
        <v>0</v>
      </c>
      <c r="M394" s="405">
        <f>'ведом 2024 пр.4'!L116</f>
        <v>0</v>
      </c>
    </row>
    <row r="395" spans="1:22" ht="45" x14ac:dyDescent="0.2">
      <c r="A395" s="406" t="str">
        <f>'ведом 2024 пр.4'!A119</f>
        <v>Основное мероприятие "Мероприятия, направленные на материальное стимулирование работников сельскохозяственного производства, проведение районного праздника "День работника сельского хозяйства, пищевой и перерабатывающей промышленности"</v>
      </c>
      <c r="B395" s="402"/>
      <c r="C395" s="402"/>
      <c r="D395" s="402"/>
      <c r="E395" s="407" t="s">
        <v>1252</v>
      </c>
      <c r="F395" s="402"/>
      <c r="G395" s="396"/>
      <c r="H395" s="405">
        <f t="shared" ref="H395:M395" si="128">H396</f>
        <v>592</v>
      </c>
      <c r="I395" s="405">
        <f t="shared" si="128"/>
        <v>0</v>
      </c>
      <c r="J395" s="405">
        <f t="shared" si="128"/>
        <v>592</v>
      </c>
      <c r="K395" s="405">
        <f t="shared" si="128"/>
        <v>0</v>
      </c>
      <c r="L395" s="405">
        <f t="shared" si="128"/>
        <v>0</v>
      </c>
      <c r="M395" s="405">
        <f t="shared" si="128"/>
        <v>0</v>
      </c>
    </row>
    <row r="396" spans="1:22" ht="30" x14ac:dyDescent="0.2">
      <c r="A396" s="408" t="s">
        <v>973</v>
      </c>
      <c r="B396" s="402"/>
      <c r="C396" s="402"/>
      <c r="D396" s="402"/>
      <c r="E396" s="407" t="s">
        <v>1252</v>
      </c>
      <c r="F396" s="402"/>
      <c r="G396" s="396">
        <v>922</v>
      </c>
      <c r="H396" s="405">
        <f>'ведом 2024 пр.4'!G119</f>
        <v>592</v>
      </c>
      <c r="I396" s="405">
        <f>'ведом 2024 пр.4'!H119</f>
        <v>0</v>
      </c>
      <c r="J396" s="405">
        <f>'ведом 2024 пр.4'!I119</f>
        <v>592</v>
      </c>
      <c r="K396" s="405">
        <f>'ведом 2024 пр.4'!J119</f>
        <v>0</v>
      </c>
      <c r="L396" s="405">
        <f>'ведом 2024 пр.4'!K119</f>
        <v>0</v>
      </c>
      <c r="M396" s="405">
        <f>'ведом 2024 пр.4'!L119</f>
        <v>0</v>
      </c>
    </row>
    <row r="397" spans="1:22" x14ac:dyDescent="0.2">
      <c r="A397" s="406" t="str">
        <f>'ведом 2024 пр.4'!A123</f>
        <v>Основное мероприятие "Современный облик сельских территорий"</v>
      </c>
      <c r="B397" s="402"/>
      <c r="C397" s="402"/>
      <c r="D397" s="402"/>
      <c r="E397" s="407" t="s">
        <v>1287</v>
      </c>
      <c r="F397" s="402"/>
      <c r="G397" s="396"/>
      <c r="H397" s="405">
        <f t="shared" ref="H397:M397" si="129">H398+H400++H401+H402+H399+H403</f>
        <v>135619.20321000001</v>
      </c>
      <c r="I397" s="405">
        <f t="shared" si="129"/>
        <v>112319.1</v>
      </c>
      <c r="J397" s="405">
        <f t="shared" si="129"/>
        <v>135619.20321000001</v>
      </c>
      <c r="K397" s="405">
        <f t="shared" si="129"/>
        <v>112319.1</v>
      </c>
      <c r="L397" s="405">
        <f t="shared" si="129"/>
        <v>0</v>
      </c>
      <c r="M397" s="405">
        <f t="shared" si="129"/>
        <v>0</v>
      </c>
    </row>
    <row r="398" spans="1:22" ht="30" hidden="1" customHeight="1" x14ac:dyDescent="0.2">
      <c r="A398" s="408" t="s">
        <v>973</v>
      </c>
      <c r="B398" s="402"/>
      <c r="C398" s="402"/>
      <c r="D398" s="402"/>
      <c r="E398" s="407" t="s">
        <v>1287</v>
      </c>
      <c r="F398" s="402"/>
      <c r="G398" s="396">
        <v>922</v>
      </c>
      <c r="H398" s="405">
        <f>'ведом 2024 пр.4'!G123+'ведом 2024 пр.4'!G177+'ведом 2024 пр.4'!G196+'ведом 2024 пр.4'!G216</f>
        <v>0</v>
      </c>
      <c r="I398" s="405">
        <f>'ведом 2024 пр.4'!H123+'ведом 2024 пр.4'!H177+'ведом 2024 пр.4'!H196+'ведом 2024 пр.4'!H216</f>
        <v>0</v>
      </c>
      <c r="J398" s="405">
        <f>'ведом 2024 пр.4'!I123+'ведом 2024 пр.4'!I177+'ведом 2024 пр.4'!I196+'ведом 2024 пр.4'!I216</f>
        <v>0</v>
      </c>
      <c r="K398" s="405">
        <f>'ведом 2024 пр.4'!J123+'ведом 2024 пр.4'!J177+'ведом 2024 пр.4'!J196+'ведом 2024 пр.4'!J216</f>
        <v>0</v>
      </c>
      <c r="L398" s="405">
        <f>'ведом 2024 пр.4'!K123+'ведом 2024 пр.4'!K177+'ведом 2024 пр.4'!K196+'ведом 2024 пр.4'!K216</f>
        <v>0</v>
      </c>
      <c r="M398" s="405">
        <f>'ведом 2024 пр.4'!L123+'ведом 2024 пр.4'!L177+'ведом 2024 пр.4'!L196+'ведом 2024 пр.4'!L216</f>
        <v>0</v>
      </c>
    </row>
    <row r="399" spans="1:22" ht="30" hidden="1" customHeight="1" x14ac:dyDescent="0.2">
      <c r="A399" s="408" t="s">
        <v>76</v>
      </c>
      <c r="B399" s="402"/>
      <c r="C399" s="402"/>
      <c r="D399" s="402"/>
      <c r="E399" s="407" t="s">
        <v>1287</v>
      </c>
      <c r="F399" s="402"/>
      <c r="G399" s="396">
        <v>939</v>
      </c>
      <c r="H399" s="405">
        <f>'ведом 2024 пр.4'!G472</f>
        <v>0</v>
      </c>
      <c r="I399" s="405">
        <f>'ведом 2024 пр.4'!H472</f>
        <v>0</v>
      </c>
      <c r="J399" s="405">
        <f>'ведом 2024 пр.4'!I472</f>
        <v>0</v>
      </c>
      <c r="K399" s="405">
        <f>'ведом 2024 пр.4'!J472</f>
        <v>0</v>
      </c>
      <c r="L399" s="405">
        <f>'ведом 2024 пр.4'!K472</f>
        <v>0</v>
      </c>
      <c r="M399" s="405">
        <f>'ведом 2024 пр.4'!L472</f>
        <v>0</v>
      </c>
    </row>
    <row r="400" spans="1:22" hidden="1" x14ac:dyDescent="0.2">
      <c r="A400" s="408" t="s">
        <v>227</v>
      </c>
      <c r="B400" s="402"/>
      <c r="C400" s="402"/>
      <c r="D400" s="402"/>
      <c r="E400" s="407" t="s">
        <v>1287</v>
      </c>
      <c r="F400" s="402"/>
      <c r="G400" s="396">
        <v>957</v>
      </c>
      <c r="H400" s="405">
        <f>'ведом 2024 пр.4'!G673+'ведом 2024 пр.4'!G717+'ведом 2024 пр.4'!G788</f>
        <v>0</v>
      </c>
      <c r="I400" s="405">
        <f>'ведом 2024 пр.4'!H673+'ведом 2024 пр.4'!H717+'ведом 2024 пр.4'!H788</f>
        <v>0</v>
      </c>
      <c r="J400" s="405">
        <f>'ведом 2024 пр.4'!I673+'ведом 2024 пр.4'!I717+'ведом 2024 пр.4'!I788</f>
        <v>0</v>
      </c>
      <c r="K400" s="405">
        <f>'ведом 2024 пр.4'!J673+'ведом 2024 пр.4'!J717+'ведом 2024 пр.4'!J788</f>
        <v>0</v>
      </c>
      <c r="L400" s="405">
        <f>'ведом 2024 пр.4'!K673+'ведом 2024 пр.4'!K717+'ведом 2024 пр.4'!K788</f>
        <v>0</v>
      </c>
      <c r="M400" s="405">
        <f>'ведом 2024 пр.4'!L673+'ведом 2024 пр.4'!L717+'ведом 2024 пр.4'!L788</f>
        <v>0</v>
      </c>
    </row>
    <row r="401" spans="1:15" x14ac:dyDescent="0.2">
      <c r="A401" s="408" t="s">
        <v>74</v>
      </c>
      <c r="B401" s="402"/>
      <c r="C401" s="402"/>
      <c r="D401" s="402"/>
      <c r="E401" s="407" t="s">
        <v>1287</v>
      </c>
      <c r="F401" s="402"/>
      <c r="G401" s="396">
        <v>958</v>
      </c>
      <c r="H401" s="405">
        <f>'ведом 2024 пр.4'!G984+'ведом 2024 пр.4'!G857</f>
        <v>82584.507210000011</v>
      </c>
      <c r="I401" s="405">
        <f>'ведом 2024 пр.4'!H984+'ведом 2024 пр.4'!H857</f>
        <v>63012.5</v>
      </c>
      <c r="J401" s="405">
        <f>'ведом 2024 пр.4'!I984+'ведом 2024 пр.4'!I857</f>
        <v>82584.507210000011</v>
      </c>
      <c r="K401" s="405">
        <f>'ведом 2024 пр.4'!J984+'ведом 2024 пр.4'!J857</f>
        <v>63012.5</v>
      </c>
      <c r="L401" s="405">
        <f>'ведом 2024 пр.4'!K984+'ведом 2024 пр.4'!K857</f>
        <v>0</v>
      </c>
      <c r="M401" s="405">
        <f>'ведом 2024 пр.4'!L984+'ведом 2024 пр.4'!L857</f>
        <v>0</v>
      </c>
    </row>
    <row r="402" spans="1:15" ht="18.75" customHeight="1" x14ac:dyDescent="0.2">
      <c r="A402" s="408" t="s">
        <v>73</v>
      </c>
      <c r="B402" s="402"/>
      <c r="C402" s="402"/>
      <c r="D402" s="402"/>
      <c r="E402" s="407" t="s">
        <v>1287</v>
      </c>
      <c r="F402" s="402"/>
      <c r="G402" s="396">
        <v>959</v>
      </c>
      <c r="H402" s="405">
        <f>'ведом 2024 пр.4'!G1447+'ведом 2024 пр.4'!G1426</f>
        <v>53034.696000000004</v>
      </c>
      <c r="I402" s="405">
        <f>'ведом 2024 пр.4'!H1447+'ведом 2024 пр.4'!H1426</f>
        <v>49306.6</v>
      </c>
      <c r="J402" s="405">
        <f>'ведом 2024 пр.4'!I1447+'ведом 2024 пр.4'!I1426</f>
        <v>53034.696000000004</v>
      </c>
      <c r="K402" s="405">
        <f>'ведом 2024 пр.4'!J1447+'ведом 2024 пр.4'!J1426</f>
        <v>49306.6</v>
      </c>
      <c r="L402" s="405">
        <f>'ведом 2024 пр.4'!K1447+'ведом 2024 пр.4'!K1426</f>
        <v>0</v>
      </c>
      <c r="M402" s="405">
        <f>'ведом 2024 пр.4'!L1447+'ведом 2024 пр.4'!L1426</f>
        <v>0</v>
      </c>
    </row>
    <row r="403" spans="1:15" ht="27" hidden="1" customHeight="1" x14ac:dyDescent="0.2">
      <c r="A403" s="408" t="s">
        <v>228</v>
      </c>
      <c r="B403" s="402"/>
      <c r="C403" s="402"/>
      <c r="D403" s="402"/>
      <c r="E403" s="407" t="s">
        <v>1287</v>
      </c>
      <c r="F403" s="402"/>
      <c r="G403" s="396">
        <v>961</v>
      </c>
      <c r="H403" s="405">
        <f>'ведом 2024 пр.4'!G2053</f>
        <v>0</v>
      </c>
      <c r="I403" s="405">
        <f>'ведом 2024 пр.4'!H2053</f>
        <v>0</v>
      </c>
      <c r="J403" s="405">
        <f>'ведом 2024 пр.4'!I2053</f>
        <v>0</v>
      </c>
      <c r="K403" s="405">
        <f>'ведом 2024 пр.4'!J2053</f>
        <v>0</v>
      </c>
      <c r="L403" s="405">
        <f>'ведом 2024 пр.4'!K2053</f>
        <v>0</v>
      </c>
      <c r="M403" s="405">
        <f>'ведом 2024 пр.4'!L2053</f>
        <v>0</v>
      </c>
    </row>
    <row r="404" spans="1:15" x14ac:dyDescent="0.2">
      <c r="A404" s="406" t="str">
        <f>'ведом 2024 пр.4'!A1971</f>
        <v>Основное мероприятие "Развитие транспортной инфраструктуры на сельских территориях"</v>
      </c>
      <c r="B404" s="402"/>
      <c r="C404" s="402"/>
      <c r="D404" s="402"/>
      <c r="E404" s="407" t="s">
        <v>1408</v>
      </c>
      <c r="F404" s="402"/>
      <c r="G404" s="396"/>
      <c r="H404" s="405">
        <f t="shared" ref="H404:M404" si="130">H405</f>
        <v>235409.52</v>
      </c>
      <c r="I404" s="405">
        <f t="shared" si="130"/>
        <v>210968.79089999999</v>
      </c>
      <c r="J404" s="405">
        <f t="shared" si="130"/>
        <v>235409.52</v>
      </c>
      <c r="K404" s="405">
        <f t="shared" si="130"/>
        <v>210968.79089999999</v>
      </c>
      <c r="L404" s="405">
        <f t="shared" si="130"/>
        <v>0</v>
      </c>
      <c r="M404" s="405">
        <f t="shared" si="130"/>
        <v>0</v>
      </c>
    </row>
    <row r="405" spans="1:15" ht="30" x14ac:dyDescent="0.2">
      <c r="A405" s="408" t="s">
        <v>228</v>
      </c>
      <c r="B405" s="402"/>
      <c r="C405" s="402"/>
      <c r="D405" s="402"/>
      <c r="E405" s="407" t="s">
        <v>1408</v>
      </c>
      <c r="F405" s="402"/>
      <c r="G405" s="396">
        <v>961</v>
      </c>
      <c r="H405" s="405">
        <f>'ведом 2024 пр.4'!G1971</f>
        <v>235409.52</v>
      </c>
      <c r="I405" s="405">
        <f>'ведом 2024 пр.4'!H1971</f>
        <v>210968.79089999999</v>
      </c>
      <c r="J405" s="405">
        <f>'ведом 2024 пр.4'!I1971</f>
        <v>235409.52</v>
      </c>
      <c r="K405" s="405">
        <f>'ведом 2024 пр.4'!J1971</f>
        <v>210968.79089999999</v>
      </c>
      <c r="L405" s="405">
        <f>'ведом 2024 пр.4'!K1971</f>
        <v>0</v>
      </c>
      <c r="M405" s="405">
        <f>'ведом 2024 пр.4'!L1971</f>
        <v>0</v>
      </c>
    </row>
    <row r="406" spans="1:15" s="116" customFormat="1" x14ac:dyDescent="0.25">
      <c r="A406" s="409" t="s">
        <v>467</v>
      </c>
      <c r="B406" s="397"/>
      <c r="C406" s="397"/>
      <c r="D406" s="397"/>
      <c r="E406" s="397"/>
      <c r="F406" s="397"/>
      <c r="G406" s="398"/>
      <c r="H406" s="399">
        <f>H48+H73+H108+H148+H151+H236+H102+H279+H311+H327+H58+H376+H380+H387+H390+H197+H11+H194+H139+H317+H23+H180+H42+H45</f>
        <v>1810921.7143600001</v>
      </c>
      <c r="I406" s="399">
        <f t="shared" ref="I406:M406" si="131">I48+I73+I108+I148+I151+I236+I102+I279+I311+I327+I58+I376+I380+I387+I390+I197+I11+I194+I139+I317+I23+I180+I42+I45</f>
        <v>552445.20230999996</v>
      </c>
      <c r="J406" s="399">
        <f t="shared" si="131"/>
        <v>2061421.5845700002</v>
      </c>
      <c r="K406" s="399">
        <f t="shared" si="131"/>
        <v>575123.10230999999</v>
      </c>
      <c r="L406" s="399">
        <f t="shared" si="131"/>
        <v>250499.87021000008</v>
      </c>
      <c r="M406" s="399">
        <f t="shared" si="131"/>
        <v>22677.9</v>
      </c>
      <c r="N406" s="461">
        <f>J406-'ведом 2024 пр.4'!I2403</f>
        <v>0</v>
      </c>
      <c r="O406" s="461">
        <f>K406-'ведом 2024 пр.4'!J2403</f>
        <v>0</v>
      </c>
    </row>
    <row r="407" spans="1:15" ht="18.75" customHeight="1" x14ac:dyDescent="0.25">
      <c r="A407" s="462"/>
      <c r="B407" s="460"/>
      <c r="C407" s="460"/>
      <c r="D407" s="460"/>
      <c r="E407" s="460"/>
      <c r="F407" s="460"/>
      <c r="G407" s="461"/>
      <c r="H407" s="463">
        <f>'ведом 2024 пр.4'!G2403</f>
        <v>1810921.7143599999</v>
      </c>
      <c r="I407" s="463">
        <f>'ведом 2024 пр.4'!H2403</f>
        <v>552445.20230999996</v>
      </c>
      <c r="J407" s="463">
        <f>'ведом 2024 пр.4'!I2403</f>
        <v>2061421.5845700002</v>
      </c>
      <c r="K407" s="463">
        <f>'ведом 2024 пр.4'!J2403</f>
        <v>575123.10230999999</v>
      </c>
      <c r="L407" s="463">
        <f>'ведом 2024 пр.4'!K2403</f>
        <v>250499.87021000002</v>
      </c>
      <c r="M407" s="463">
        <f>'ведом 2024 пр.4'!L2403</f>
        <v>22677.9</v>
      </c>
    </row>
    <row r="408" spans="1:15" hidden="1" x14ac:dyDescent="0.25">
      <c r="A408" s="462"/>
      <c r="B408" s="460"/>
      <c r="C408" s="460"/>
      <c r="D408" s="460"/>
      <c r="E408" s="460"/>
      <c r="F408" s="460"/>
      <c r="G408" s="461"/>
      <c r="H408" s="461">
        <f t="shared" ref="H408:M408" si="132">H407-H406</f>
        <v>0</v>
      </c>
      <c r="I408" s="461">
        <f t="shared" si="132"/>
        <v>0</v>
      </c>
      <c r="J408" s="461">
        <f t="shared" si="132"/>
        <v>0</v>
      </c>
      <c r="K408" s="461">
        <f t="shared" si="132"/>
        <v>0</v>
      </c>
      <c r="L408" s="461">
        <f t="shared" si="132"/>
        <v>0</v>
      </c>
      <c r="M408" s="461">
        <f t="shared" si="132"/>
        <v>0</v>
      </c>
    </row>
    <row r="409" spans="1:15" hidden="1" x14ac:dyDescent="0.25">
      <c r="A409" s="462"/>
      <c r="B409" s="460"/>
      <c r="C409" s="460"/>
      <c r="D409" s="460"/>
      <c r="E409" s="460"/>
      <c r="F409" s="460"/>
      <c r="G409" s="461"/>
      <c r="H409" s="461">
        <f>H408/H406*100</f>
        <v>0</v>
      </c>
      <c r="I409" s="461"/>
      <c r="J409" s="461">
        <f>J408/J406*100</f>
        <v>0</v>
      </c>
      <c r="K409" s="461"/>
      <c r="L409" s="461"/>
      <c r="M409" s="461"/>
    </row>
    <row r="410" spans="1:15" hidden="1" x14ac:dyDescent="0.25">
      <c r="A410" s="462"/>
      <c r="B410" s="460"/>
      <c r="C410" s="460"/>
      <c r="D410" s="460"/>
      <c r="E410" s="460"/>
      <c r="F410" s="460"/>
      <c r="G410" s="461"/>
      <c r="H410" s="461">
        <f>H407-H406</f>
        <v>0</v>
      </c>
      <c r="I410" s="461"/>
      <c r="J410" s="461"/>
      <c r="K410" s="461"/>
      <c r="L410" s="461">
        <f>J406-H406</f>
        <v>250499.87021000008</v>
      </c>
      <c r="M410" s="461">
        <f>K406-I406</f>
        <v>22677.900000000023</v>
      </c>
    </row>
    <row r="411" spans="1:15" x14ac:dyDescent="0.25">
      <c r="A411" s="462"/>
      <c r="B411" s="460"/>
      <c r="C411" s="460"/>
      <c r="D411" s="460"/>
      <c r="E411" s="460" t="s">
        <v>1459</v>
      </c>
      <c r="F411" s="460"/>
      <c r="G411" s="461"/>
      <c r="H411" s="461">
        <f>H151+H148+H108+H73+H23</f>
        <v>1056900.93958</v>
      </c>
      <c r="I411" s="461">
        <f>H411/1000</f>
        <v>1056.9009395800001</v>
      </c>
      <c r="J411" s="461">
        <f>J151+J148+J108+J73</f>
        <v>1193084.3937900001</v>
      </c>
      <c r="K411" s="461">
        <f>J411/1000</f>
        <v>1193.0843937900001</v>
      </c>
      <c r="L411" s="461"/>
      <c r="M411" s="461"/>
    </row>
    <row r="412" spans="1:15" x14ac:dyDescent="0.25">
      <c r="A412" s="462"/>
      <c r="B412" s="460"/>
      <c r="C412" s="460"/>
      <c r="D412" s="460"/>
      <c r="E412" s="460" t="s">
        <v>1778</v>
      </c>
      <c r="F412" s="460"/>
      <c r="G412" s="461"/>
      <c r="H412" s="461">
        <f>H390+H327+H317++H311+H197+H180+H139</f>
        <v>657338.37044999993</v>
      </c>
      <c r="I412" s="461">
        <f>H412/1000</f>
        <v>657.33837044999996</v>
      </c>
      <c r="J412" s="461">
        <f>J390+J327+J317++J311+J197+J180+J139</f>
        <v>756765.40812999988</v>
      </c>
      <c r="K412" s="461">
        <f>J412/1000</f>
        <v>756.76540812999986</v>
      </c>
      <c r="L412" s="461"/>
      <c r="M412" s="461"/>
    </row>
    <row r="413" spans="1:15" x14ac:dyDescent="0.25">
      <c r="A413" s="462"/>
      <c r="B413" s="460"/>
      <c r="C413" s="460"/>
      <c r="D413" s="460"/>
      <c r="E413" s="460" t="s">
        <v>1779</v>
      </c>
      <c r="F413" s="460"/>
      <c r="G413" s="461"/>
      <c r="H413" s="461">
        <f>H387+H236+H102+H58</f>
        <v>15224.420119999999</v>
      </c>
      <c r="I413" s="461">
        <f>H413/1000</f>
        <v>15.22442012</v>
      </c>
      <c r="J413" s="461">
        <f>J387+J236+J102</f>
        <v>12527.020209999999</v>
      </c>
      <c r="K413" s="461">
        <f>J413/1000</f>
        <v>12.527020209999998</v>
      </c>
      <c r="L413" s="461"/>
      <c r="M413" s="461"/>
    </row>
    <row r="414" spans="1:15" x14ac:dyDescent="0.25">
      <c r="A414" s="462"/>
      <c r="B414" s="460"/>
      <c r="C414" s="460"/>
      <c r="D414" s="460"/>
      <c r="E414" s="460" t="s">
        <v>1780</v>
      </c>
      <c r="F414" s="460"/>
      <c r="G414" s="461"/>
      <c r="H414" s="461">
        <f>H279+H194+H48+H11+H380</f>
        <v>80920.48421000001</v>
      </c>
      <c r="I414" s="461">
        <f>H414/1000</f>
        <v>80.920484210000012</v>
      </c>
      <c r="J414" s="461">
        <f>J279+J194+J48+J23+J11+J380</f>
        <v>92987.262439999991</v>
      </c>
      <c r="K414" s="461">
        <f>J414/1000</f>
        <v>92.987262439999995</v>
      </c>
      <c r="L414" s="461"/>
      <c r="M414" s="461"/>
    </row>
    <row r="415" spans="1:15" hidden="1" x14ac:dyDescent="0.25">
      <c r="A415" s="462"/>
      <c r="B415" s="460"/>
      <c r="C415" s="460"/>
      <c r="D415" s="460"/>
      <c r="E415" s="460"/>
      <c r="F415" s="460"/>
      <c r="G415" s="461"/>
      <c r="H415" s="461">
        <f>SUBTOTAL(9,H411:H414)</f>
        <v>1810384.2143599996</v>
      </c>
      <c r="I415" s="461"/>
      <c r="J415" s="461"/>
      <c r="K415" s="461"/>
      <c r="L415" s="461"/>
      <c r="M415" s="461"/>
    </row>
    <row r="416" spans="1:15" hidden="1" x14ac:dyDescent="0.25">
      <c r="A416" s="462"/>
      <c r="B416" s="460"/>
      <c r="C416" s="460"/>
      <c r="D416" s="460"/>
      <c r="E416" s="460"/>
      <c r="F416" s="460"/>
      <c r="G416" s="461"/>
      <c r="H416" s="461">
        <f>H415-H407</f>
        <v>-537.50000000023283</v>
      </c>
      <c r="I416" s="461"/>
      <c r="J416" s="461"/>
      <c r="K416" s="461"/>
      <c r="L416" s="461"/>
      <c r="M416" s="461"/>
    </row>
    <row r="417" spans="1:13" x14ac:dyDescent="0.25">
      <c r="A417" s="462"/>
      <c r="B417" s="460"/>
      <c r="C417" s="460"/>
      <c r="D417" s="460"/>
      <c r="E417" s="460"/>
      <c r="F417" s="460"/>
      <c r="G417" s="461"/>
      <c r="H417" s="461"/>
      <c r="I417" s="461"/>
      <c r="J417" s="461"/>
      <c r="K417" s="461"/>
      <c r="L417" s="461"/>
      <c r="M417" s="461"/>
    </row>
    <row r="418" spans="1:13" x14ac:dyDescent="0.25">
      <c r="A418" s="462"/>
      <c r="B418" s="460"/>
      <c r="C418" s="460"/>
      <c r="D418" s="460"/>
      <c r="E418" s="460"/>
      <c r="F418" s="460"/>
      <c r="G418" s="461"/>
      <c r="H418" s="461"/>
      <c r="I418" s="461"/>
      <c r="J418" s="461"/>
      <c r="K418" s="461"/>
      <c r="L418" s="461"/>
      <c r="M418" s="461"/>
    </row>
    <row r="419" spans="1:13" x14ac:dyDescent="0.25">
      <c r="A419" s="462"/>
      <c r="B419" s="460"/>
      <c r="C419" s="460"/>
      <c r="D419" s="460"/>
      <c r="E419" s="460"/>
      <c r="F419" s="460"/>
      <c r="G419" s="461"/>
      <c r="H419" s="461"/>
      <c r="I419" s="461"/>
      <c r="J419" s="461"/>
      <c r="K419" s="461"/>
      <c r="L419" s="461"/>
      <c r="M419" s="461"/>
    </row>
    <row r="420" spans="1:13" x14ac:dyDescent="0.25">
      <c r="A420" s="462"/>
      <c r="B420" s="460"/>
      <c r="C420" s="460"/>
      <c r="D420" s="460"/>
      <c r="E420" s="460"/>
      <c r="F420" s="460"/>
      <c r="G420" s="461"/>
      <c r="H420" s="461"/>
      <c r="I420" s="461"/>
      <c r="J420" s="461"/>
      <c r="K420" s="461"/>
      <c r="L420" s="461"/>
      <c r="M420" s="461"/>
    </row>
    <row r="421" spans="1:13" x14ac:dyDescent="0.25">
      <c r="A421" s="462"/>
      <c r="B421" s="460"/>
      <c r="C421" s="460"/>
      <c r="D421" s="460"/>
      <c r="E421" s="460"/>
      <c r="F421" s="460"/>
      <c r="G421" s="461"/>
      <c r="H421" s="461"/>
      <c r="I421" s="461"/>
      <c r="J421" s="461"/>
      <c r="K421" s="461"/>
      <c r="L421" s="461"/>
      <c r="M421" s="461"/>
    </row>
    <row r="422" spans="1:13" x14ac:dyDescent="0.25">
      <c r="A422" s="462"/>
      <c r="B422" s="460"/>
      <c r="C422" s="460"/>
      <c r="D422" s="460"/>
      <c r="E422" s="460"/>
      <c r="F422" s="460"/>
      <c r="G422" s="461"/>
      <c r="H422" s="461"/>
      <c r="I422" s="461"/>
      <c r="J422" s="461"/>
      <c r="K422" s="461"/>
      <c r="L422" s="461"/>
      <c r="M422" s="461"/>
    </row>
    <row r="423" spans="1:13" x14ac:dyDescent="0.25">
      <c r="A423" s="462"/>
      <c r="B423" s="460"/>
      <c r="C423" s="460"/>
      <c r="D423" s="460"/>
      <c r="E423" s="460"/>
      <c r="F423" s="460"/>
      <c r="G423" s="461"/>
      <c r="H423" s="461"/>
      <c r="I423" s="461"/>
      <c r="J423" s="461"/>
      <c r="K423" s="461"/>
      <c r="L423" s="461"/>
      <c r="M423" s="461"/>
    </row>
    <row r="424" spans="1:13" x14ac:dyDescent="0.25">
      <c r="A424" s="462"/>
      <c r="B424" s="460"/>
      <c r="C424" s="460"/>
      <c r="D424" s="460"/>
      <c r="E424" s="460"/>
      <c r="F424" s="460"/>
      <c r="G424" s="461"/>
      <c r="H424" s="461"/>
      <c r="I424" s="461"/>
      <c r="J424" s="461"/>
      <c r="K424" s="461"/>
      <c r="L424" s="461"/>
      <c r="M424" s="461"/>
    </row>
    <row r="425" spans="1:13" x14ac:dyDescent="0.25">
      <c r="A425" s="462"/>
      <c r="B425" s="460"/>
      <c r="C425" s="460"/>
      <c r="D425" s="460"/>
      <c r="E425" s="460"/>
      <c r="F425" s="460"/>
      <c r="G425" s="461"/>
      <c r="H425" s="461"/>
      <c r="I425" s="461"/>
      <c r="J425" s="461"/>
      <c r="K425" s="461"/>
      <c r="L425" s="461"/>
      <c r="M425" s="461"/>
    </row>
    <row r="426" spans="1:13" x14ac:dyDescent="0.25">
      <c r="A426" s="462"/>
      <c r="B426" s="460"/>
      <c r="C426" s="460"/>
      <c r="D426" s="460"/>
      <c r="E426" s="460"/>
      <c r="F426" s="460"/>
      <c r="G426" s="461"/>
      <c r="H426" s="461"/>
      <c r="I426" s="461"/>
      <c r="J426" s="461"/>
      <c r="K426" s="461"/>
      <c r="L426" s="461"/>
      <c r="M426" s="461"/>
    </row>
    <row r="427" spans="1:13" x14ac:dyDescent="0.25">
      <c r="A427" s="462"/>
      <c r="B427" s="460"/>
      <c r="C427" s="460"/>
      <c r="D427" s="460"/>
      <c r="E427" s="460"/>
      <c r="F427" s="460"/>
      <c r="G427" s="461"/>
      <c r="H427" s="461"/>
      <c r="I427" s="461"/>
      <c r="J427" s="461"/>
      <c r="K427" s="461"/>
      <c r="L427" s="461"/>
      <c r="M427" s="461"/>
    </row>
    <row r="428" spans="1:13" x14ac:dyDescent="0.25">
      <c r="A428" s="462"/>
      <c r="B428" s="460"/>
      <c r="C428" s="460"/>
      <c r="D428" s="460"/>
      <c r="E428" s="460"/>
      <c r="F428" s="460"/>
      <c r="G428" s="461"/>
      <c r="H428" s="461"/>
      <c r="I428" s="461"/>
      <c r="J428" s="461"/>
      <c r="K428" s="461"/>
      <c r="L428" s="461"/>
      <c r="M428" s="461"/>
    </row>
    <row r="429" spans="1:13" x14ac:dyDescent="0.25">
      <c r="A429" s="462"/>
      <c r="B429" s="460"/>
      <c r="C429" s="460"/>
      <c r="D429" s="460"/>
      <c r="E429" s="460"/>
      <c r="F429" s="460"/>
      <c r="G429" s="461"/>
      <c r="H429" s="461"/>
      <c r="I429" s="461"/>
      <c r="J429" s="461"/>
      <c r="K429" s="461"/>
      <c r="L429" s="461"/>
      <c r="M429" s="461"/>
    </row>
    <row r="430" spans="1:13" x14ac:dyDescent="0.25">
      <c r="A430" s="462"/>
      <c r="B430" s="460"/>
      <c r="C430" s="460"/>
      <c r="D430" s="460"/>
      <c r="E430" s="460"/>
      <c r="F430" s="460"/>
      <c r="G430" s="461"/>
      <c r="H430" s="461"/>
      <c r="I430" s="461"/>
      <c r="J430" s="461"/>
      <c r="K430" s="461"/>
      <c r="L430" s="461"/>
      <c r="M430" s="461"/>
    </row>
    <row r="431" spans="1:13" x14ac:dyDescent="0.25">
      <c r="A431" s="462"/>
      <c r="B431" s="460"/>
      <c r="C431" s="460"/>
      <c r="D431" s="460"/>
      <c r="E431" s="460"/>
      <c r="F431" s="460"/>
      <c r="G431" s="461"/>
      <c r="H431" s="461"/>
      <c r="I431" s="461"/>
      <c r="J431" s="461"/>
      <c r="K431" s="461"/>
      <c r="L431" s="461"/>
      <c r="M431" s="461"/>
    </row>
    <row r="432" spans="1:13" x14ac:dyDescent="0.25">
      <c r="A432" s="462"/>
      <c r="B432" s="460"/>
      <c r="C432" s="460"/>
      <c r="D432" s="460"/>
      <c r="E432" s="460"/>
      <c r="F432" s="460"/>
      <c r="G432" s="461"/>
      <c r="H432" s="461"/>
      <c r="I432" s="461"/>
      <c r="J432" s="461"/>
      <c r="K432" s="461"/>
      <c r="L432" s="461"/>
      <c r="M432" s="461"/>
    </row>
    <row r="433" spans="1:13" x14ac:dyDescent="0.25">
      <c r="A433" s="462"/>
      <c r="B433" s="460"/>
      <c r="C433" s="460"/>
      <c r="D433" s="460"/>
      <c r="E433" s="460"/>
      <c r="F433" s="460"/>
      <c r="G433" s="461"/>
      <c r="H433" s="461"/>
      <c r="I433" s="461"/>
      <c r="J433" s="461"/>
      <c r="K433" s="461"/>
      <c r="L433" s="461"/>
      <c r="M433" s="461"/>
    </row>
    <row r="434" spans="1:13" x14ac:dyDescent="0.25">
      <c r="A434" s="462"/>
      <c r="B434" s="460"/>
      <c r="C434" s="460"/>
      <c r="D434" s="460"/>
      <c r="E434" s="460"/>
      <c r="F434" s="460"/>
      <c r="G434" s="461"/>
      <c r="H434" s="461"/>
      <c r="I434" s="461"/>
      <c r="J434" s="461"/>
      <c r="K434" s="461"/>
      <c r="L434" s="461"/>
      <c r="M434" s="461"/>
    </row>
    <row r="435" spans="1:13" x14ac:dyDescent="0.25">
      <c r="A435" s="462"/>
      <c r="B435" s="460"/>
      <c r="C435" s="460"/>
      <c r="D435" s="460"/>
      <c r="E435" s="460"/>
      <c r="F435" s="460"/>
      <c r="G435" s="461"/>
      <c r="H435" s="461"/>
      <c r="I435" s="461"/>
      <c r="J435" s="461"/>
      <c r="K435" s="461"/>
      <c r="L435" s="461"/>
      <c r="M435" s="461"/>
    </row>
    <row r="436" spans="1:13" x14ac:dyDescent="0.25">
      <c r="A436" s="462"/>
      <c r="B436" s="460"/>
      <c r="C436" s="460"/>
      <c r="D436" s="460"/>
      <c r="E436" s="460"/>
      <c r="F436" s="460"/>
      <c r="G436" s="461"/>
      <c r="H436" s="461"/>
      <c r="I436" s="461"/>
      <c r="J436" s="461"/>
      <c r="K436" s="461"/>
      <c r="L436" s="461"/>
      <c r="M436" s="461"/>
    </row>
    <row r="437" spans="1:13" x14ac:dyDescent="0.25">
      <c r="A437" s="462"/>
      <c r="B437" s="460"/>
      <c r="C437" s="460"/>
      <c r="D437" s="460"/>
      <c r="E437" s="460"/>
      <c r="F437" s="460"/>
      <c r="G437" s="461"/>
      <c r="H437" s="461"/>
      <c r="I437" s="461"/>
      <c r="J437" s="461"/>
      <c r="K437" s="461"/>
      <c r="L437" s="461"/>
      <c r="M437" s="461"/>
    </row>
    <row r="438" spans="1:13" x14ac:dyDescent="0.25">
      <c r="A438" s="462"/>
      <c r="B438" s="460"/>
      <c r="C438" s="460"/>
      <c r="D438" s="460"/>
      <c r="E438" s="460"/>
      <c r="F438" s="460"/>
      <c r="G438" s="461"/>
      <c r="H438" s="461"/>
      <c r="I438" s="461"/>
      <c r="J438" s="461"/>
      <c r="K438" s="461"/>
      <c r="L438" s="461"/>
      <c r="M438" s="461"/>
    </row>
    <row r="439" spans="1:13" x14ac:dyDescent="0.25">
      <c r="A439" s="462"/>
      <c r="B439" s="460"/>
      <c r="C439" s="460"/>
      <c r="D439" s="460"/>
      <c r="E439" s="460"/>
      <c r="F439" s="460"/>
      <c r="G439" s="461"/>
      <c r="H439" s="461"/>
      <c r="I439" s="461"/>
      <c r="J439" s="461"/>
      <c r="K439" s="461"/>
      <c r="L439" s="461"/>
      <c r="M439" s="461"/>
    </row>
    <row r="440" spans="1:13" x14ac:dyDescent="0.25">
      <c r="A440" s="462"/>
      <c r="B440" s="460"/>
      <c r="C440" s="460"/>
      <c r="D440" s="460"/>
      <c r="E440" s="460"/>
      <c r="F440" s="460"/>
      <c r="G440" s="461"/>
      <c r="H440" s="461"/>
      <c r="I440" s="461"/>
      <c r="J440" s="461"/>
      <c r="K440" s="461"/>
      <c r="L440" s="461"/>
      <c r="M440" s="461"/>
    </row>
    <row r="441" spans="1:13" x14ac:dyDescent="0.25">
      <c r="A441" s="462"/>
      <c r="B441" s="460"/>
      <c r="C441" s="460"/>
      <c r="D441" s="460"/>
      <c r="E441" s="460"/>
      <c r="F441" s="460"/>
      <c r="G441" s="461"/>
      <c r="H441" s="461"/>
      <c r="I441" s="461"/>
      <c r="J441" s="461"/>
      <c r="K441" s="461"/>
      <c r="L441" s="461"/>
      <c r="M441" s="461"/>
    </row>
    <row r="442" spans="1:13" x14ac:dyDescent="0.25">
      <c r="A442" s="462"/>
      <c r="B442" s="460"/>
      <c r="C442" s="460"/>
      <c r="D442" s="460"/>
      <c r="E442" s="460"/>
      <c r="F442" s="460"/>
      <c r="G442" s="461"/>
      <c r="H442" s="461"/>
      <c r="I442" s="461"/>
      <c r="J442" s="461"/>
      <c r="K442" s="461"/>
      <c r="L442" s="461"/>
      <c r="M442" s="461"/>
    </row>
    <row r="443" spans="1:13" x14ac:dyDescent="0.25">
      <c r="A443" s="462"/>
      <c r="B443" s="460"/>
      <c r="C443" s="460"/>
      <c r="D443" s="460"/>
      <c r="E443" s="460"/>
      <c r="F443" s="460"/>
      <c r="G443" s="461"/>
      <c r="H443" s="461"/>
      <c r="I443" s="461"/>
      <c r="J443" s="461"/>
      <c r="K443" s="461"/>
      <c r="L443" s="461"/>
      <c r="M443" s="461"/>
    </row>
    <row r="444" spans="1:13" x14ac:dyDescent="0.25">
      <c r="A444" s="462"/>
      <c r="B444" s="460"/>
      <c r="C444" s="460"/>
      <c r="D444" s="460"/>
      <c r="E444" s="460"/>
      <c r="F444" s="460"/>
      <c r="G444" s="461"/>
      <c r="H444" s="461"/>
      <c r="I444" s="461"/>
      <c r="J444" s="461"/>
      <c r="K444" s="461"/>
      <c r="L444" s="461"/>
      <c r="M444" s="461"/>
    </row>
    <row r="445" spans="1:13" x14ac:dyDescent="0.25">
      <c r="A445" s="462"/>
      <c r="B445" s="460"/>
      <c r="C445" s="460"/>
      <c r="D445" s="460"/>
      <c r="E445" s="460"/>
      <c r="F445" s="460"/>
      <c r="G445" s="461"/>
      <c r="H445" s="461"/>
      <c r="I445" s="461"/>
      <c r="J445" s="461"/>
      <c r="K445" s="461"/>
      <c r="L445" s="461"/>
      <c r="M445" s="461"/>
    </row>
    <row r="446" spans="1:13" x14ac:dyDescent="0.25">
      <c r="A446" s="462"/>
      <c r="B446" s="460"/>
      <c r="C446" s="460"/>
      <c r="D446" s="460"/>
      <c r="E446" s="460"/>
      <c r="F446" s="460"/>
      <c r="G446" s="461"/>
      <c r="H446" s="461"/>
      <c r="I446" s="461"/>
      <c r="J446" s="461"/>
      <c r="K446" s="461"/>
      <c r="L446" s="461"/>
      <c r="M446" s="461"/>
    </row>
    <row r="447" spans="1:13" x14ac:dyDescent="0.25">
      <c r="A447" s="462"/>
      <c r="B447" s="460"/>
      <c r="C447" s="460"/>
      <c r="D447" s="460"/>
      <c r="E447" s="460"/>
      <c r="F447" s="460"/>
      <c r="G447" s="461"/>
      <c r="H447" s="461"/>
      <c r="I447" s="461"/>
      <c r="J447" s="461"/>
      <c r="K447" s="461"/>
      <c r="L447" s="461"/>
      <c r="M447" s="461"/>
    </row>
    <row r="448" spans="1:13" x14ac:dyDescent="0.25">
      <c r="A448" s="462"/>
      <c r="B448" s="460"/>
      <c r="C448" s="460"/>
      <c r="D448" s="460"/>
      <c r="E448" s="460"/>
      <c r="F448" s="460"/>
      <c r="G448" s="461"/>
      <c r="H448" s="461"/>
      <c r="I448" s="461"/>
      <c r="J448" s="461"/>
      <c r="K448" s="461"/>
      <c r="L448" s="461"/>
      <c r="M448" s="461"/>
    </row>
    <row r="449" spans="1:13" x14ac:dyDescent="0.25">
      <c r="A449" s="462"/>
      <c r="B449" s="460"/>
      <c r="C449" s="460"/>
      <c r="D449" s="460"/>
      <c r="E449" s="460"/>
      <c r="F449" s="460"/>
      <c r="G449" s="461"/>
      <c r="H449" s="461"/>
      <c r="I449" s="461"/>
      <c r="J449" s="461"/>
      <c r="K449" s="461"/>
      <c r="L449" s="461"/>
      <c r="M449" s="461"/>
    </row>
    <row r="450" spans="1:13" x14ac:dyDescent="0.25">
      <c r="A450" s="462"/>
      <c r="B450" s="460"/>
      <c r="C450" s="460"/>
      <c r="D450" s="460"/>
      <c r="E450" s="460"/>
      <c r="F450" s="460"/>
      <c r="G450" s="461"/>
      <c r="H450" s="461"/>
      <c r="I450" s="461"/>
      <c r="J450" s="461"/>
      <c r="K450" s="461"/>
      <c r="L450" s="461"/>
      <c r="M450" s="461"/>
    </row>
    <row r="451" spans="1:13" x14ac:dyDescent="0.25">
      <c r="A451" s="462"/>
      <c r="B451" s="460"/>
      <c r="C451" s="460"/>
      <c r="D451" s="460"/>
      <c r="E451" s="460"/>
      <c r="F451" s="460"/>
      <c r="G451" s="461"/>
      <c r="H451" s="461"/>
      <c r="I451" s="461"/>
      <c r="J451" s="461"/>
      <c r="K451" s="461"/>
      <c r="L451" s="461"/>
      <c r="M451" s="461"/>
    </row>
    <row r="452" spans="1:13" x14ac:dyDescent="0.25">
      <c r="A452" s="462"/>
      <c r="B452" s="460"/>
      <c r="C452" s="460"/>
      <c r="D452" s="460"/>
      <c r="E452" s="460"/>
      <c r="F452" s="460"/>
      <c r="G452" s="461"/>
      <c r="H452" s="461"/>
      <c r="I452" s="461"/>
      <c r="J452" s="461"/>
      <c r="K452" s="461"/>
      <c r="L452" s="461"/>
      <c r="M452" s="461"/>
    </row>
    <row r="453" spans="1:13" x14ac:dyDescent="0.25">
      <c r="A453" s="462"/>
      <c r="B453" s="460"/>
      <c r="C453" s="460"/>
      <c r="D453" s="460"/>
      <c r="E453" s="460"/>
      <c r="F453" s="460"/>
      <c r="G453" s="461"/>
      <c r="H453" s="461"/>
      <c r="I453" s="461"/>
      <c r="J453" s="461"/>
      <c r="K453" s="461"/>
      <c r="L453" s="461"/>
      <c r="M453" s="461"/>
    </row>
    <row r="454" spans="1:13" x14ac:dyDescent="0.25">
      <c r="A454" s="462"/>
      <c r="B454" s="460"/>
      <c r="C454" s="460"/>
      <c r="D454" s="460"/>
      <c r="E454" s="460"/>
      <c r="F454" s="460"/>
      <c r="G454" s="461"/>
      <c r="H454" s="461"/>
      <c r="I454" s="461"/>
      <c r="J454" s="461"/>
      <c r="K454" s="461"/>
      <c r="L454" s="461"/>
      <c r="M454" s="461"/>
    </row>
    <row r="455" spans="1:13" x14ac:dyDescent="0.25">
      <c r="A455" s="462"/>
      <c r="B455" s="460"/>
      <c r="C455" s="460"/>
      <c r="D455" s="460"/>
      <c r="E455" s="460"/>
      <c r="F455" s="460"/>
      <c r="G455" s="461"/>
      <c r="H455" s="461"/>
      <c r="I455" s="461"/>
      <c r="J455" s="461"/>
      <c r="K455" s="461"/>
      <c r="L455" s="461"/>
      <c r="M455" s="461"/>
    </row>
    <row r="456" spans="1:13" x14ac:dyDescent="0.25">
      <c r="A456" s="462"/>
      <c r="B456" s="460"/>
      <c r="C456" s="460"/>
      <c r="D456" s="460"/>
      <c r="E456" s="460"/>
      <c r="F456" s="460"/>
      <c r="G456" s="461"/>
      <c r="H456" s="461"/>
      <c r="I456" s="461"/>
      <c r="J456" s="461"/>
      <c r="K456" s="461"/>
      <c r="L456" s="461"/>
      <c r="M456" s="461"/>
    </row>
    <row r="457" spans="1:13" x14ac:dyDescent="0.25">
      <c r="A457" s="462"/>
      <c r="B457" s="460"/>
      <c r="C457" s="460"/>
      <c r="D457" s="460"/>
      <c r="E457" s="460"/>
      <c r="F457" s="460"/>
      <c r="G457" s="461"/>
      <c r="H457" s="461"/>
      <c r="I457" s="461"/>
      <c r="J457" s="461"/>
      <c r="K457" s="461"/>
      <c r="L457" s="461"/>
      <c r="M457" s="461"/>
    </row>
    <row r="458" spans="1:13" x14ac:dyDescent="0.25">
      <c r="A458" s="462"/>
      <c r="B458" s="460"/>
      <c r="C458" s="460"/>
      <c r="D458" s="460"/>
      <c r="E458" s="460"/>
      <c r="F458" s="460"/>
      <c r="G458" s="461"/>
      <c r="H458" s="461"/>
      <c r="I458" s="461"/>
      <c r="J458" s="461"/>
      <c r="K458" s="461"/>
      <c r="L458" s="461"/>
      <c r="M458" s="461"/>
    </row>
    <row r="459" spans="1:13" x14ac:dyDescent="0.25">
      <c r="A459" s="462"/>
      <c r="B459" s="460"/>
      <c r="C459" s="460"/>
      <c r="D459" s="460"/>
      <c r="E459" s="460"/>
      <c r="F459" s="460"/>
      <c r="G459" s="461"/>
      <c r="H459" s="461"/>
      <c r="I459" s="461"/>
      <c r="J459" s="461"/>
      <c r="K459" s="461"/>
      <c r="L459" s="461"/>
      <c r="M459" s="461"/>
    </row>
    <row r="460" spans="1:13" x14ac:dyDescent="0.25">
      <c r="A460" s="462"/>
      <c r="B460" s="460"/>
      <c r="C460" s="460"/>
      <c r="D460" s="460"/>
      <c r="E460" s="460"/>
      <c r="F460" s="460"/>
      <c r="G460" s="461"/>
      <c r="H460" s="461"/>
      <c r="I460" s="461"/>
      <c r="J460" s="461"/>
      <c r="K460" s="461"/>
      <c r="L460" s="461"/>
      <c r="M460" s="461"/>
    </row>
    <row r="461" spans="1:13" x14ac:dyDescent="0.25">
      <c r="A461" s="462"/>
      <c r="B461" s="460"/>
      <c r="C461" s="460"/>
      <c r="D461" s="460"/>
      <c r="E461" s="460"/>
      <c r="F461" s="460"/>
      <c r="G461" s="461"/>
      <c r="H461" s="461"/>
      <c r="I461" s="461"/>
      <c r="J461" s="461"/>
      <c r="K461" s="461"/>
      <c r="L461" s="461"/>
      <c r="M461" s="461"/>
    </row>
    <row r="462" spans="1:13" x14ac:dyDescent="0.25">
      <c r="A462" s="462"/>
      <c r="B462" s="460"/>
      <c r="C462" s="460"/>
      <c r="D462" s="460"/>
      <c r="E462" s="460"/>
      <c r="F462" s="460"/>
      <c r="G462" s="461"/>
      <c r="H462" s="461"/>
      <c r="I462" s="461"/>
      <c r="J462" s="461"/>
      <c r="K462" s="461"/>
      <c r="L462" s="461"/>
      <c r="M462" s="461"/>
    </row>
    <row r="463" spans="1:13" x14ac:dyDescent="0.25">
      <c r="A463" s="462"/>
      <c r="B463" s="460"/>
      <c r="C463" s="460"/>
      <c r="D463" s="460"/>
      <c r="E463" s="460"/>
      <c r="F463" s="460"/>
      <c r="G463" s="461"/>
      <c r="H463" s="461"/>
      <c r="I463" s="461"/>
      <c r="J463" s="461"/>
      <c r="K463" s="461"/>
      <c r="L463" s="461"/>
      <c r="M463" s="461"/>
    </row>
    <row r="464" spans="1:13" x14ac:dyDescent="0.25">
      <c r="A464" s="462"/>
      <c r="B464" s="460"/>
      <c r="C464" s="460"/>
      <c r="D464" s="460"/>
      <c r="E464" s="460"/>
      <c r="F464" s="460"/>
      <c r="G464" s="461"/>
      <c r="H464" s="461"/>
      <c r="I464" s="461"/>
      <c r="J464" s="461"/>
      <c r="K464" s="461"/>
      <c r="L464" s="461"/>
      <c r="M464" s="461"/>
    </row>
    <row r="465" spans="1:13" x14ac:dyDescent="0.25">
      <c r="A465" s="462"/>
      <c r="B465" s="460"/>
      <c r="C465" s="460"/>
      <c r="D465" s="460"/>
      <c r="E465" s="460"/>
      <c r="F465" s="460"/>
      <c r="G465" s="461"/>
      <c r="H465" s="461"/>
      <c r="I465" s="461"/>
      <c r="J465" s="461"/>
      <c r="K465" s="461"/>
      <c r="L465" s="461"/>
      <c r="M465" s="461"/>
    </row>
    <row r="466" spans="1:13" x14ac:dyDescent="0.25">
      <c r="A466" s="462"/>
      <c r="B466" s="460"/>
      <c r="C466" s="460"/>
      <c r="D466" s="460"/>
      <c r="E466" s="460"/>
      <c r="F466" s="460"/>
      <c r="G466" s="461"/>
      <c r="H466" s="461"/>
      <c r="I466" s="461"/>
      <c r="J466" s="461"/>
      <c r="K466" s="461"/>
      <c r="L466" s="461"/>
      <c r="M466" s="461"/>
    </row>
    <row r="467" spans="1:13" x14ac:dyDescent="0.25">
      <c r="A467" s="462"/>
      <c r="B467" s="460"/>
      <c r="C467" s="460"/>
      <c r="D467" s="460"/>
      <c r="E467" s="460"/>
      <c r="F467" s="460"/>
      <c r="G467" s="461"/>
      <c r="H467" s="461"/>
      <c r="I467" s="461"/>
      <c r="J467" s="461"/>
      <c r="K467" s="461"/>
      <c r="L467" s="461"/>
      <c r="M467" s="461"/>
    </row>
    <row r="468" spans="1:13" x14ac:dyDescent="0.25">
      <c r="A468" s="462"/>
      <c r="B468" s="460"/>
      <c r="C468" s="460"/>
      <c r="D468" s="460"/>
      <c r="E468" s="460"/>
      <c r="F468" s="460"/>
      <c r="G468" s="461"/>
      <c r="H468" s="461"/>
      <c r="I468" s="461"/>
      <c r="J468" s="461"/>
      <c r="K468" s="461"/>
      <c r="L468" s="461"/>
      <c r="M468" s="461"/>
    </row>
    <row r="469" spans="1:13" x14ac:dyDescent="0.25">
      <c r="A469" s="462"/>
      <c r="B469" s="460"/>
      <c r="C469" s="460"/>
      <c r="D469" s="460"/>
      <c r="E469" s="460"/>
      <c r="F469" s="460"/>
      <c r="G469" s="461"/>
      <c r="H469" s="461"/>
      <c r="I469" s="461"/>
      <c r="J469" s="461"/>
      <c r="K469" s="461"/>
      <c r="L469" s="461"/>
      <c r="M469" s="461"/>
    </row>
    <row r="470" spans="1:13" x14ac:dyDescent="0.25">
      <c r="A470" s="462"/>
      <c r="B470" s="460"/>
      <c r="C470" s="460"/>
      <c r="D470" s="460"/>
      <c r="E470" s="460"/>
      <c r="F470" s="460"/>
      <c r="G470" s="461"/>
      <c r="H470" s="461"/>
      <c r="I470" s="461"/>
      <c r="J470" s="461"/>
      <c r="K470" s="461"/>
      <c r="L470" s="461"/>
      <c r="M470" s="461"/>
    </row>
    <row r="471" spans="1:13" x14ac:dyDescent="0.25">
      <c r="A471" s="462"/>
      <c r="B471" s="460"/>
      <c r="C471" s="460"/>
      <c r="D471" s="460"/>
      <c r="E471" s="460"/>
      <c r="F471" s="460"/>
      <c r="G471" s="461"/>
      <c r="H471" s="461"/>
      <c r="I471" s="461"/>
      <c r="J471" s="461"/>
      <c r="K471" s="461"/>
      <c r="L471" s="461"/>
      <c r="M471" s="461"/>
    </row>
    <row r="472" spans="1:13" x14ac:dyDescent="0.25">
      <c r="A472" s="462"/>
      <c r="B472" s="460"/>
      <c r="C472" s="460"/>
      <c r="D472" s="460"/>
      <c r="E472" s="460"/>
      <c r="F472" s="460"/>
      <c r="G472" s="461"/>
      <c r="H472" s="461"/>
      <c r="I472" s="461"/>
      <c r="J472" s="461"/>
      <c r="K472" s="461"/>
      <c r="L472" s="461"/>
      <c r="M472" s="461"/>
    </row>
    <row r="473" spans="1:13" x14ac:dyDescent="0.25">
      <c r="A473" s="462"/>
      <c r="B473" s="460"/>
      <c r="C473" s="460"/>
      <c r="D473" s="460"/>
      <c r="E473" s="460"/>
      <c r="F473" s="460"/>
      <c r="G473" s="461"/>
      <c r="H473" s="461"/>
      <c r="I473" s="461"/>
      <c r="J473" s="461"/>
      <c r="K473" s="461"/>
      <c r="L473" s="461"/>
      <c r="M473" s="461"/>
    </row>
    <row r="474" spans="1:13" x14ac:dyDescent="0.25">
      <c r="A474" s="462"/>
      <c r="B474" s="460"/>
      <c r="C474" s="460"/>
      <c r="D474" s="460"/>
      <c r="E474" s="460"/>
      <c r="F474" s="460"/>
      <c r="G474" s="461"/>
      <c r="H474" s="461"/>
      <c r="I474" s="461"/>
      <c r="J474" s="461"/>
      <c r="K474" s="461"/>
      <c r="L474" s="461"/>
      <c r="M474" s="461"/>
    </row>
    <row r="475" spans="1:13" x14ac:dyDescent="0.25">
      <c r="A475" s="462"/>
      <c r="B475" s="460"/>
      <c r="C475" s="460"/>
      <c r="D475" s="460"/>
      <c r="E475" s="460"/>
      <c r="F475" s="460"/>
      <c r="G475" s="461"/>
      <c r="H475" s="461"/>
      <c r="I475" s="461"/>
      <c r="J475" s="461"/>
      <c r="K475" s="461"/>
      <c r="L475" s="461"/>
      <c r="M475" s="461"/>
    </row>
    <row r="476" spans="1:13" x14ac:dyDescent="0.25">
      <c r="A476" s="462"/>
      <c r="B476" s="460"/>
      <c r="C476" s="460"/>
      <c r="D476" s="460"/>
      <c r="E476" s="460"/>
      <c r="F476" s="460"/>
      <c r="G476" s="461"/>
      <c r="H476" s="461"/>
      <c r="I476" s="461"/>
      <c r="J476" s="461"/>
      <c r="K476" s="461"/>
      <c r="L476" s="461"/>
      <c r="M476" s="461"/>
    </row>
    <row r="477" spans="1:13" x14ac:dyDescent="0.25">
      <c r="A477" s="462"/>
      <c r="B477" s="460"/>
      <c r="C477" s="460"/>
      <c r="D477" s="460"/>
      <c r="E477" s="460"/>
      <c r="F477" s="460"/>
      <c r="G477" s="461"/>
      <c r="H477" s="461"/>
      <c r="I477" s="461"/>
      <c r="J477" s="461"/>
      <c r="K477" s="461"/>
      <c r="L477" s="461"/>
      <c r="M477" s="461"/>
    </row>
    <row r="478" spans="1:13" x14ac:dyDescent="0.25">
      <c r="A478" s="462"/>
      <c r="B478" s="460"/>
      <c r="C478" s="460"/>
      <c r="D478" s="460"/>
      <c r="E478" s="460"/>
      <c r="F478" s="460"/>
      <c r="G478" s="461"/>
      <c r="H478" s="461"/>
      <c r="I478" s="461"/>
      <c r="J478" s="461"/>
      <c r="K478" s="461"/>
      <c r="L478" s="461"/>
      <c r="M478" s="461"/>
    </row>
    <row r="479" spans="1:13" x14ac:dyDescent="0.25">
      <c r="A479" s="462"/>
      <c r="B479" s="460"/>
      <c r="C479" s="460"/>
      <c r="D479" s="460"/>
      <c r="E479" s="460"/>
      <c r="F479" s="460"/>
      <c r="G479" s="461"/>
      <c r="H479" s="461"/>
      <c r="I479" s="461"/>
      <c r="J479" s="461"/>
      <c r="K479" s="461"/>
      <c r="L479" s="461"/>
      <c r="M479" s="461"/>
    </row>
    <row r="480" spans="1:13" x14ac:dyDescent="0.25">
      <c r="A480" s="462"/>
      <c r="B480" s="460"/>
      <c r="C480" s="460"/>
      <c r="D480" s="460"/>
      <c r="E480" s="460"/>
      <c r="F480" s="460"/>
      <c r="G480" s="461"/>
      <c r="H480" s="461"/>
      <c r="I480" s="461"/>
      <c r="J480" s="461"/>
      <c r="K480" s="461"/>
      <c r="L480" s="461"/>
      <c r="M480" s="461"/>
    </row>
    <row r="481" spans="1:13" x14ac:dyDescent="0.25">
      <c r="A481" s="462"/>
      <c r="B481" s="460"/>
      <c r="C481" s="460"/>
      <c r="D481" s="460"/>
      <c r="E481" s="460"/>
      <c r="F481" s="460"/>
      <c r="G481" s="461"/>
      <c r="H481" s="461"/>
      <c r="I481" s="461"/>
      <c r="J481" s="461"/>
      <c r="K481" s="461"/>
      <c r="L481" s="461"/>
      <c r="M481" s="461"/>
    </row>
    <row r="482" spans="1:13" x14ac:dyDescent="0.25">
      <c r="A482" s="462"/>
      <c r="B482" s="460"/>
      <c r="C482" s="460"/>
      <c r="D482" s="460"/>
      <c r="E482" s="460"/>
      <c r="F482" s="460"/>
      <c r="G482" s="461"/>
      <c r="H482" s="461"/>
      <c r="I482" s="461"/>
      <c r="J482" s="461"/>
      <c r="K482" s="461"/>
      <c r="L482" s="461"/>
      <c r="M482" s="461"/>
    </row>
    <row r="483" spans="1:13" x14ac:dyDescent="0.25">
      <c r="A483" s="462"/>
      <c r="B483" s="460"/>
      <c r="C483" s="460"/>
      <c r="D483" s="460"/>
      <c r="E483" s="460"/>
      <c r="F483" s="460"/>
      <c r="G483" s="461"/>
      <c r="H483" s="461"/>
      <c r="I483" s="461"/>
      <c r="J483" s="461"/>
      <c r="K483" s="461"/>
      <c r="L483" s="461"/>
      <c r="M483" s="461"/>
    </row>
    <row r="484" spans="1:13" x14ac:dyDescent="0.25">
      <c r="A484" s="462"/>
      <c r="B484" s="460"/>
      <c r="C484" s="460"/>
      <c r="D484" s="460"/>
      <c r="E484" s="460"/>
      <c r="F484" s="460"/>
      <c r="G484" s="461"/>
      <c r="H484" s="461"/>
      <c r="I484" s="461"/>
      <c r="J484" s="461"/>
      <c r="K484" s="461"/>
      <c r="L484" s="461"/>
      <c r="M484" s="461"/>
    </row>
    <row r="485" spans="1:13" x14ac:dyDescent="0.25">
      <c r="A485" s="462"/>
      <c r="B485" s="460"/>
      <c r="C485" s="460"/>
      <c r="D485" s="460"/>
      <c r="E485" s="460"/>
      <c r="F485" s="460"/>
      <c r="G485" s="461"/>
      <c r="H485" s="461"/>
      <c r="I485" s="461"/>
      <c r="J485" s="461"/>
      <c r="K485" s="461"/>
      <c r="L485" s="461"/>
      <c r="M485" s="461"/>
    </row>
    <row r="486" spans="1:13" x14ac:dyDescent="0.25">
      <c r="A486" s="462"/>
      <c r="B486" s="460"/>
      <c r="C486" s="460"/>
      <c r="D486" s="460"/>
      <c r="E486" s="460"/>
      <c r="F486" s="460"/>
      <c r="G486" s="461"/>
      <c r="H486" s="461"/>
      <c r="I486" s="461"/>
      <c r="J486" s="461"/>
      <c r="K486" s="461"/>
      <c r="L486" s="461"/>
      <c r="M486" s="461"/>
    </row>
    <row r="487" spans="1:13" x14ac:dyDescent="0.25">
      <c r="A487" s="462"/>
      <c r="B487" s="460"/>
      <c r="C487" s="460"/>
      <c r="D487" s="460"/>
      <c r="E487" s="460"/>
      <c r="F487" s="460"/>
      <c r="G487" s="461"/>
      <c r="H487" s="461"/>
      <c r="I487" s="461"/>
      <c r="J487" s="461"/>
      <c r="K487" s="461"/>
      <c r="L487" s="461"/>
      <c r="M487" s="461"/>
    </row>
    <row r="488" spans="1:13" x14ac:dyDescent="0.25">
      <c r="A488" s="462"/>
      <c r="B488" s="460"/>
      <c r="C488" s="460"/>
      <c r="D488" s="460"/>
      <c r="E488" s="460"/>
      <c r="F488" s="460"/>
      <c r="G488" s="461"/>
      <c r="H488" s="461"/>
      <c r="I488" s="461"/>
      <c r="J488" s="461"/>
      <c r="K488" s="461"/>
      <c r="L488" s="461"/>
      <c r="M488" s="461"/>
    </row>
    <row r="489" spans="1:13" x14ac:dyDescent="0.25">
      <c r="A489" s="462"/>
      <c r="B489" s="460"/>
      <c r="C489" s="460"/>
      <c r="D489" s="460"/>
      <c r="E489" s="460"/>
      <c r="F489" s="460"/>
      <c r="G489" s="461"/>
      <c r="H489" s="461"/>
      <c r="I489" s="461"/>
      <c r="J489" s="461"/>
      <c r="K489" s="461"/>
      <c r="L489" s="461"/>
      <c r="M489" s="461"/>
    </row>
    <row r="490" spans="1:13" x14ac:dyDescent="0.25">
      <c r="A490" s="462"/>
      <c r="B490" s="460"/>
      <c r="C490" s="460"/>
      <c r="D490" s="460"/>
      <c r="E490" s="460"/>
      <c r="F490" s="460"/>
      <c r="G490" s="461"/>
      <c r="H490" s="461"/>
      <c r="I490" s="461"/>
      <c r="J490" s="461"/>
      <c r="K490" s="461"/>
      <c r="L490" s="461"/>
      <c r="M490" s="461"/>
    </row>
    <row r="491" spans="1:13" x14ac:dyDescent="0.25">
      <c r="A491" s="462"/>
      <c r="B491" s="460"/>
      <c r="C491" s="460"/>
      <c r="D491" s="460"/>
      <c r="E491" s="460"/>
      <c r="F491" s="460"/>
      <c r="G491" s="461"/>
      <c r="H491" s="461"/>
      <c r="I491" s="461"/>
      <c r="J491" s="461"/>
      <c r="K491" s="461"/>
      <c r="L491" s="461"/>
      <c r="M491" s="461"/>
    </row>
    <row r="492" spans="1:13" x14ac:dyDescent="0.25">
      <c r="A492" s="462"/>
      <c r="B492" s="460"/>
      <c r="C492" s="460"/>
      <c r="D492" s="460"/>
      <c r="E492" s="460"/>
      <c r="F492" s="460"/>
      <c r="G492" s="461"/>
      <c r="H492" s="461"/>
      <c r="I492" s="461"/>
      <c r="J492" s="461"/>
      <c r="K492" s="461"/>
      <c r="L492" s="461"/>
      <c r="M492" s="461"/>
    </row>
    <row r="493" spans="1:13" x14ac:dyDescent="0.25">
      <c r="A493" s="462"/>
      <c r="B493" s="460"/>
      <c r="C493" s="460"/>
      <c r="D493" s="460"/>
      <c r="E493" s="460"/>
      <c r="F493" s="460"/>
      <c r="G493" s="461"/>
      <c r="H493" s="461"/>
      <c r="I493" s="461"/>
      <c r="J493" s="461"/>
      <c r="K493" s="461"/>
      <c r="L493" s="461"/>
      <c r="M493" s="461"/>
    </row>
    <row r="494" spans="1:13" x14ac:dyDescent="0.25">
      <c r="A494" s="462"/>
      <c r="B494" s="460"/>
      <c r="C494" s="460"/>
      <c r="D494" s="460"/>
      <c r="E494" s="460"/>
      <c r="F494" s="460"/>
      <c r="G494" s="461"/>
      <c r="H494" s="461"/>
      <c r="I494" s="461"/>
      <c r="J494" s="461"/>
      <c r="K494" s="461"/>
      <c r="L494" s="461"/>
      <c r="M494" s="461"/>
    </row>
    <row r="495" spans="1:13" x14ac:dyDescent="0.25">
      <c r="A495" s="462"/>
      <c r="B495" s="460"/>
      <c r="C495" s="460"/>
      <c r="D495" s="460"/>
      <c r="E495" s="460"/>
      <c r="F495" s="460"/>
      <c r="G495" s="461"/>
      <c r="H495" s="461"/>
      <c r="I495" s="461"/>
      <c r="J495" s="461"/>
      <c r="K495" s="461"/>
      <c r="L495" s="461"/>
      <c r="M495" s="461"/>
    </row>
    <row r="496" spans="1:13" x14ac:dyDescent="0.25">
      <c r="A496" s="462"/>
      <c r="B496" s="460"/>
      <c r="C496" s="460"/>
      <c r="D496" s="460"/>
      <c r="E496" s="460"/>
      <c r="F496" s="460"/>
      <c r="G496" s="461"/>
      <c r="H496" s="461"/>
      <c r="I496" s="461"/>
      <c r="J496" s="461"/>
      <c r="K496" s="461"/>
      <c r="L496" s="461"/>
      <c r="M496" s="461"/>
    </row>
    <row r="497" spans="1:13" x14ac:dyDescent="0.25">
      <c r="A497" s="462"/>
      <c r="B497" s="460"/>
      <c r="C497" s="460"/>
      <c r="D497" s="460"/>
      <c r="E497" s="460"/>
      <c r="F497" s="460"/>
      <c r="G497" s="461"/>
      <c r="H497" s="461"/>
      <c r="I497" s="461"/>
      <c r="J497" s="461"/>
      <c r="K497" s="461"/>
      <c r="L497" s="461"/>
      <c r="M497" s="461"/>
    </row>
    <row r="498" spans="1:13" x14ac:dyDescent="0.25">
      <c r="A498" s="462"/>
      <c r="B498" s="460"/>
      <c r="C498" s="460"/>
      <c r="D498" s="460"/>
      <c r="E498" s="460"/>
      <c r="F498" s="460"/>
      <c r="G498" s="461"/>
      <c r="H498" s="461"/>
      <c r="I498" s="461"/>
      <c r="J498" s="461"/>
      <c r="K498" s="461"/>
      <c r="L498" s="461"/>
      <c r="M498" s="461"/>
    </row>
    <row r="499" spans="1:13" x14ac:dyDescent="0.25">
      <c r="A499" s="462"/>
      <c r="B499" s="460"/>
      <c r="C499" s="460"/>
      <c r="D499" s="460"/>
      <c r="E499" s="460"/>
      <c r="F499" s="460"/>
      <c r="G499" s="461"/>
      <c r="H499" s="461"/>
      <c r="I499" s="461"/>
      <c r="J499" s="461"/>
      <c r="K499" s="461"/>
      <c r="L499" s="461"/>
      <c r="M499" s="461"/>
    </row>
    <row r="500" spans="1:13" x14ac:dyDescent="0.25">
      <c r="A500" s="462"/>
      <c r="B500" s="460"/>
      <c r="C500" s="460"/>
      <c r="D500" s="460"/>
      <c r="E500" s="460"/>
      <c r="F500" s="460"/>
      <c r="G500" s="461"/>
      <c r="H500" s="461"/>
      <c r="I500" s="461"/>
      <c r="J500" s="461"/>
      <c r="K500" s="461"/>
      <c r="L500" s="461"/>
      <c r="M500" s="461"/>
    </row>
    <row r="501" spans="1:13" x14ac:dyDescent="0.25">
      <c r="A501" s="462"/>
      <c r="B501" s="460"/>
      <c r="C501" s="460"/>
      <c r="D501" s="460"/>
      <c r="E501" s="460"/>
      <c r="F501" s="460"/>
      <c r="G501" s="461"/>
      <c r="H501" s="461"/>
      <c r="I501" s="461"/>
      <c r="J501" s="461"/>
      <c r="K501" s="461"/>
      <c r="L501" s="461"/>
      <c r="M501" s="461"/>
    </row>
    <row r="502" spans="1:13" x14ac:dyDescent="0.25">
      <c r="A502" s="462"/>
      <c r="B502" s="460"/>
      <c r="C502" s="460"/>
      <c r="D502" s="460"/>
      <c r="E502" s="460"/>
      <c r="F502" s="460"/>
      <c r="G502" s="461"/>
      <c r="H502" s="461"/>
      <c r="I502" s="461"/>
      <c r="J502" s="461"/>
      <c r="K502" s="461"/>
      <c r="L502" s="461"/>
      <c r="M502" s="461"/>
    </row>
    <row r="503" spans="1:13" x14ac:dyDescent="0.25">
      <c r="A503" s="462"/>
      <c r="B503" s="460"/>
      <c r="C503" s="460"/>
      <c r="D503" s="460"/>
      <c r="E503" s="460"/>
      <c r="F503" s="460"/>
      <c r="G503" s="461"/>
      <c r="H503" s="461"/>
      <c r="I503" s="461"/>
      <c r="J503" s="461"/>
      <c r="K503" s="461"/>
      <c r="L503" s="461"/>
      <c r="M503" s="461"/>
    </row>
    <row r="504" spans="1:13" x14ac:dyDescent="0.25">
      <c r="A504" s="462"/>
      <c r="B504" s="460"/>
      <c r="C504" s="460"/>
      <c r="D504" s="460"/>
      <c r="E504" s="460"/>
      <c r="F504" s="460"/>
      <c r="G504" s="461"/>
      <c r="H504" s="461"/>
      <c r="I504" s="461"/>
      <c r="J504" s="461"/>
      <c r="K504" s="461"/>
      <c r="L504" s="461"/>
      <c r="M504" s="461"/>
    </row>
    <row r="505" spans="1:13" x14ac:dyDescent="0.25">
      <c r="A505" s="462"/>
      <c r="B505" s="460"/>
      <c r="C505" s="460"/>
      <c r="D505" s="460"/>
      <c r="E505" s="460"/>
      <c r="F505" s="460"/>
      <c r="G505" s="461"/>
      <c r="H505" s="461"/>
      <c r="I505" s="461"/>
      <c r="J505" s="461"/>
      <c r="K505" s="461"/>
      <c r="L505" s="461"/>
      <c r="M505" s="461"/>
    </row>
    <row r="506" spans="1:13" x14ac:dyDescent="0.25">
      <c r="A506" s="462"/>
      <c r="B506" s="460"/>
      <c r="C506" s="460"/>
      <c r="D506" s="460"/>
      <c r="E506" s="460"/>
      <c r="F506" s="460"/>
      <c r="G506" s="461"/>
      <c r="H506" s="461"/>
      <c r="I506" s="461"/>
      <c r="J506" s="461"/>
      <c r="K506" s="461"/>
      <c r="L506" s="461"/>
      <c r="M506" s="461"/>
    </row>
    <row r="507" spans="1:13" x14ac:dyDescent="0.25">
      <c r="A507" s="462"/>
      <c r="B507" s="460"/>
      <c r="C507" s="460"/>
      <c r="D507" s="460"/>
      <c r="E507" s="460"/>
      <c r="F507" s="460"/>
      <c r="G507" s="461"/>
      <c r="H507" s="461"/>
      <c r="I507" s="461"/>
      <c r="J507" s="461"/>
      <c r="K507" s="461"/>
      <c r="L507" s="461"/>
      <c r="M507" s="461"/>
    </row>
    <row r="508" spans="1:13" x14ac:dyDescent="0.25">
      <c r="A508" s="462"/>
      <c r="B508" s="460"/>
      <c r="C508" s="460"/>
      <c r="D508" s="460"/>
      <c r="E508" s="460"/>
      <c r="F508" s="460"/>
      <c r="G508" s="461"/>
      <c r="H508" s="461"/>
      <c r="I508" s="461"/>
      <c r="J508" s="461"/>
      <c r="K508" s="461"/>
      <c r="L508" s="461"/>
      <c r="M508" s="461"/>
    </row>
    <row r="509" spans="1:13" x14ac:dyDescent="0.25">
      <c r="A509" s="462"/>
      <c r="B509" s="460"/>
      <c r="C509" s="460"/>
      <c r="D509" s="460"/>
      <c r="E509" s="460"/>
      <c r="F509" s="460"/>
      <c r="G509" s="461"/>
      <c r="H509" s="461"/>
      <c r="I509" s="461"/>
      <c r="J509" s="461"/>
      <c r="K509" s="461"/>
      <c r="L509" s="461"/>
      <c r="M509" s="461"/>
    </row>
    <row r="510" spans="1:13" x14ac:dyDescent="0.25">
      <c r="A510" s="462"/>
      <c r="B510" s="460"/>
      <c r="C510" s="460"/>
      <c r="D510" s="460"/>
      <c r="E510" s="460"/>
      <c r="F510" s="460"/>
      <c r="G510" s="461"/>
      <c r="H510" s="461"/>
      <c r="I510" s="461"/>
      <c r="J510" s="461"/>
      <c r="K510" s="461"/>
      <c r="L510" s="461"/>
      <c r="M510" s="461"/>
    </row>
    <row r="511" spans="1:13" x14ac:dyDescent="0.25">
      <c r="A511" s="462"/>
      <c r="B511" s="460"/>
      <c r="C511" s="460"/>
      <c r="D511" s="460"/>
      <c r="E511" s="460"/>
      <c r="F511" s="460"/>
      <c r="G511" s="461"/>
      <c r="H511" s="461"/>
      <c r="I511" s="461"/>
      <c r="J511" s="461"/>
      <c r="K511" s="461"/>
      <c r="L511" s="461"/>
      <c r="M511" s="461"/>
    </row>
    <row r="512" spans="1:13" x14ac:dyDescent="0.25">
      <c r="A512" s="462"/>
      <c r="B512" s="460"/>
      <c r="C512" s="460"/>
      <c r="D512" s="460"/>
      <c r="E512" s="460"/>
      <c r="F512" s="460"/>
      <c r="G512" s="461"/>
      <c r="H512" s="461"/>
      <c r="I512" s="461"/>
      <c r="J512" s="461"/>
      <c r="K512" s="461"/>
      <c r="L512" s="461"/>
      <c r="M512" s="461"/>
    </row>
    <row r="513" spans="1:13" x14ac:dyDescent="0.25">
      <c r="A513" s="462"/>
      <c r="B513" s="460"/>
      <c r="C513" s="460"/>
      <c r="D513" s="460"/>
      <c r="E513" s="460"/>
      <c r="F513" s="460"/>
      <c r="G513" s="461"/>
      <c r="H513" s="461"/>
      <c r="I513" s="461"/>
      <c r="J513" s="461"/>
      <c r="K513" s="461"/>
      <c r="L513" s="461"/>
      <c r="M513" s="461"/>
    </row>
    <row r="514" spans="1:13" x14ac:dyDescent="0.25">
      <c r="A514" s="462"/>
      <c r="B514" s="460"/>
      <c r="C514" s="460"/>
      <c r="D514" s="460"/>
      <c r="E514" s="460"/>
      <c r="F514" s="460"/>
      <c r="G514" s="461"/>
      <c r="H514" s="461"/>
      <c r="I514" s="461"/>
      <c r="J514" s="461"/>
      <c r="K514" s="461"/>
      <c r="L514" s="461"/>
      <c r="M514" s="461"/>
    </row>
    <row r="515" spans="1:13" x14ac:dyDescent="0.25">
      <c r="A515" s="462"/>
      <c r="B515" s="460"/>
      <c r="C515" s="460"/>
      <c r="D515" s="460"/>
      <c r="E515" s="460"/>
      <c r="F515" s="460"/>
      <c r="G515" s="461"/>
      <c r="H515" s="461"/>
      <c r="I515" s="461"/>
      <c r="J515" s="461"/>
      <c r="K515" s="461"/>
      <c r="L515" s="461"/>
      <c r="M515" s="461"/>
    </row>
    <row r="516" spans="1:13" x14ac:dyDescent="0.25">
      <c r="A516" s="462"/>
      <c r="B516" s="460"/>
      <c r="C516" s="460"/>
      <c r="D516" s="460"/>
      <c r="E516" s="460"/>
      <c r="F516" s="460"/>
      <c r="G516" s="461"/>
      <c r="H516" s="461"/>
      <c r="I516" s="461"/>
      <c r="J516" s="461"/>
      <c r="K516" s="461"/>
      <c r="L516" s="461"/>
      <c r="M516" s="461"/>
    </row>
    <row r="517" spans="1:13" x14ac:dyDescent="0.25">
      <c r="A517" s="462"/>
      <c r="B517" s="460"/>
      <c r="C517" s="460"/>
      <c r="D517" s="460"/>
      <c r="E517" s="460"/>
      <c r="F517" s="460"/>
      <c r="G517" s="461"/>
      <c r="H517" s="461"/>
      <c r="I517" s="461"/>
      <c r="J517" s="461"/>
      <c r="K517" s="461"/>
      <c r="L517" s="461"/>
      <c r="M517" s="461"/>
    </row>
    <row r="518" spans="1:13" x14ac:dyDescent="0.25">
      <c r="A518" s="462"/>
      <c r="B518" s="460"/>
      <c r="C518" s="460"/>
      <c r="D518" s="460"/>
      <c r="E518" s="460"/>
      <c r="F518" s="460"/>
      <c r="G518" s="461"/>
      <c r="H518" s="461"/>
      <c r="I518" s="461"/>
      <c r="J518" s="461"/>
      <c r="K518" s="461"/>
      <c r="L518" s="461"/>
      <c r="M518" s="461"/>
    </row>
    <row r="519" spans="1:13" x14ac:dyDescent="0.25">
      <c r="A519" s="462"/>
      <c r="B519" s="460"/>
      <c r="C519" s="460"/>
      <c r="D519" s="460"/>
      <c r="E519" s="460"/>
      <c r="F519" s="460"/>
      <c r="G519" s="461"/>
      <c r="H519" s="461"/>
      <c r="I519" s="461"/>
      <c r="J519" s="461"/>
      <c r="K519" s="461"/>
      <c r="L519" s="461"/>
      <c r="M519" s="461"/>
    </row>
    <row r="520" spans="1:13" x14ac:dyDescent="0.25">
      <c r="A520" s="462"/>
      <c r="B520" s="460"/>
      <c r="C520" s="460"/>
      <c r="D520" s="460"/>
      <c r="E520" s="460"/>
      <c r="F520" s="460"/>
      <c r="G520" s="461"/>
      <c r="H520" s="461"/>
      <c r="I520" s="461"/>
      <c r="J520" s="461"/>
      <c r="K520" s="461"/>
      <c r="L520" s="461"/>
      <c r="M520" s="461"/>
    </row>
    <row r="521" spans="1:13" x14ac:dyDescent="0.25">
      <c r="A521" s="462"/>
      <c r="B521" s="460"/>
      <c r="C521" s="460"/>
      <c r="D521" s="460"/>
      <c r="E521" s="460"/>
      <c r="F521" s="460"/>
      <c r="G521" s="461"/>
      <c r="H521" s="461"/>
      <c r="I521" s="461"/>
      <c r="J521" s="461"/>
      <c r="K521" s="461"/>
      <c r="L521" s="461"/>
      <c r="M521" s="461"/>
    </row>
    <row r="522" spans="1:13" x14ac:dyDescent="0.25">
      <c r="A522" s="462"/>
      <c r="B522" s="460"/>
      <c r="C522" s="460"/>
      <c r="D522" s="460"/>
      <c r="E522" s="460"/>
      <c r="F522" s="460"/>
      <c r="G522" s="461"/>
      <c r="H522" s="461"/>
      <c r="I522" s="461"/>
      <c r="J522" s="461"/>
      <c r="K522" s="461"/>
      <c r="L522" s="461"/>
      <c r="M522" s="461"/>
    </row>
    <row r="523" spans="1:13" x14ac:dyDescent="0.25">
      <c r="A523" s="462"/>
      <c r="B523" s="460"/>
      <c r="C523" s="460"/>
      <c r="D523" s="460"/>
      <c r="E523" s="460"/>
      <c r="F523" s="460"/>
      <c r="G523" s="461"/>
      <c r="H523" s="461"/>
      <c r="I523" s="461"/>
      <c r="J523" s="461"/>
      <c r="K523" s="461"/>
      <c r="L523" s="461"/>
      <c r="M523" s="461"/>
    </row>
    <row r="524" spans="1:13" x14ac:dyDescent="0.25">
      <c r="A524" s="462"/>
      <c r="B524" s="460"/>
      <c r="C524" s="460"/>
      <c r="D524" s="460"/>
      <c r="E524" s="460"/>
      <c r="F524" s="460"/>
      <c r="G524" s="461"/>
      <c r="H524" s="461"/>
      <c r="I524" s="461"/>
      <c r="J524" s="461"/>
      <c r="K524" s="461"/>
      <c r="L524" s="461"/>
      <c r="M524" s="461"/>
    </row>
    <row r="525" spans="1:13" x14ac:dyDescent="0.25">
      <c r="A525" s="462"/>
      <c r="B525" s="460"/>
      <c r="C525" s="460"/>
      <c r="D525" s="460"/>
      <c r="E525" s="460"/>
      <c r="F525" s="460"/>
      <c r="G525" s="461"/>
      <c r="H525" s="461"/>
      <c r="I525" s="461"/>
      <c r="J525" s="461"/>
      <c r="K525" s="461"/>
      <c r="L525" s="461"/>
      <c r="M525" s="461"/>
    </row>
    <row r="526" spans="1:13" x14ac:dyDescent="0.25">
      <c r="A526" s="462"/>
      <c r="B526" s="460"/>
      <c r="C526" s="460"/>
      <c r="D526" s="460"/>
      <c r="E526" s="460"/>
      <c r="F526" s="460"/>
      <c r="G526" s="461"/>
      <c r="H526" s="461"/>
      <c r="I526" s="461"/>
      <c r="J526" s="461"/>
      <c r="K526" s="461"/>
      <c r="L526" s="461"/>
      <c r="M526" s="461"/>
    </row>
    <row r="527" spans="1:13" x14ac:dyDescent="0.25">
      <c r="A527" s="462"/>
      <c r="B527" s="460"/>
      <c r="C527" s="460"/>
      <c r="D527" s="460"/>
      <c r="E527" s="460"/>
      <c r="F527" s="460"/>
      <c r="G527" s="461"/>
      <c r="H527" s="461"/>
      <c r="I527" s="461"/>
      <c r="J527" s="461"/>
      <c r="K527" s="461"/>
      <c r="L527" s="461"/>
      <c r="M527" s="461"/>
    </row>
    <row r="528" spans="1:13" x14ac:dyDescent="0.25">
      <c r="A528" s="462"/>
      <c r="B528" s="460"/>
      <c r="C528" s="460"/>
      <c r="D528" s="460"/>
      <c r="E528" s="460"/>
      <c r="F528" s="460"/>
      <c r="G528" s="461"/>
      <c r="H528" s="461"/>
      <c r="I528" s="461"/>
      <c r="J528" s="461"/>
      <c r="K528" s="461"/>
      <c r="L528" s="461"/>
      <c r="M528" s="461"/>
    </row>
    <row r="529" spans="1:13" x14ac:dyDescent="0.25">
      <c r="A529" s="462"/>
      <c r="B529" s="460"/>
      <c r="C529" s="460"/>
      <c r="D529" s="460"/>
      <c r="E529" s="460"/>
      <c r="F529" s="460"/>
      <c r="G529" s="461"/>
      <c r="H529" s="461"/>
      <c r="I529" s="461"/>
      <c r="J529" s="461"/>
      <c r="K529" s="461"/>
      <c r="L529" s="461"/>
      <c r="M529" s="461"/>
    </row>
    <row r="530" spans="1:13" x14ac:dyDescent="0.25">
      <c r="A530" s="462"/>
      <c r="B530" s="460"/>
      <c r="C530" s="460"/>
      <c r="D530" s="460"/>
      <c r="E530" s="460"/>
      <c r="F530" s="460"/>
      <c r="G530" s="461"/>
      <c r="H530" s="461"/>
      <c r="I530" s="461"/>
      <c r="J530" s="461"/>
      <c r="K530" s="461"/>
      <c r="L530" s="461"/>
      <c r="M530" s="461"/>
    </row>
    <row r="531" spans="1:13" x14ac:dyDescent="0.25">
      <c r="A531" s="462"/>
      <c r="B531" s="460"/>
      <c r="C531" s="460"/>
      <c r="D531" s="460"/>
      <c r="E531" s="460"/>
      <c r="F531" s="460"/>
      <c r="G531" s="461"/>
      <c r="H531" s="461"/>
      <c r="I531" s="461"/>
      <c r="J531" s="461"/>
      <c r="K531" s="461"/>
      <c r="L531" s="461"/>
      <c r="M531" s="461"/>
    </row>
    <row r="532" spans="1:13" x14ac:dyDescent="0.25">
      <c r="A532" s="462"/>
      <c r="B532" s="460"/>
      <c r="C532" s="460"/>
      <c r="D532" s="460"/>
      <c r="E532" s="460"/>
      <c r="F532" s="460"/>
      <c r="G532" s="461"/>
      <c r="H532" s="461"/>
      <c r="I532" s="461"/>
      <c r="J532" s="461"/>
      <c r="K532" s="461"/>
      <c r="L532" s="461"/>
      <c r="M532" s="461"/>
    </row>
    <row r="533" spans="1:13" x14ac:dyDescent="0.25">
      <c r="A533" s="462"/>
      <c r="B533" s="460"/>
      <c r="C533" s="460"/>
      <c r="D533" s="460"/>
      <c r="E533" s="460"/>
      <c r="F533" s="460"/>
      <c r="G533" s="461"/>
      <c r="H533" s="461"/>
      <c r="I533" s="461"/>
      <c r="J533" s="461"/>
      <c r="K533" s="461"/>
      <c r="L533" s="461"/>
      <c r="M533" s="461"/>
    </row>
    <row r="534" spans="1:13" x14ac:dyDescent="0.25">
      <c r="A534" s="462"/>
      <c r="B534" s="460"/>
      <c r="C534" s="460"/>
      <c r="D534" s="460"/>
      <c r="E534" s="460"/>
      <c r="F534" s="460"/>
      <c r="G534" s="461"/>
      <c r="H534" s="461"/>
      <c r="I534" s="461"/>
      <c r="J534" s="461"/>
      <c r="K534" s="461"/>
      <c r="L534" s="461"/>
      <c r="M534" s="461"/>
    </row>
    <row r="535" spans="1:13" x14ac:dyDescent="0.25">
      <c r="A535" s="462"/>
      <c r="B535" s="460"/>
      <c r="C535" s="460"/>
      <c r="D535" s="460"/>
      <c r="E535" s="460"/>
      <c r="F535" s="460"/>
      <c r="G535" s="461"/>
      <c r="H535" s="461"/>
      <c r="I535" s="461"/>
      <c r="J535" s="461"/>
      <c r="K535" s="461"/>
      <c r="L535" s="461"/>
      <c r="M535" s="461"/>
    </row>
    <row r="536" spans="1:13" x14ac:dyDescent="0.25">
      <c r="A536" s="462"/>
      <c r="B536" s="460"/>
      <c r="C536" s="460"/>
      <c r="D536" s="460"/>
      <c r="E536" s="460"/>
      <c r="F536" s="460"/>
      <c r="G536" s="461"/>
      <c r="H536" s="461"/>
      <c r="I536" s="461"/>
      <c r="J536" s="461"/>
      <c r="K536" s="461"/>
      <c r="L536" s="461"/>
      <c r="M536" s="461"/>
    </row>
    <row r="537" spans="1:13" x14ac:dyDescent="0.25">
      <c r="A537" s="462"/>
      <c r="B537" s="460"/>
      <c r="C537" s="460"/>
      <c r="D537" s="460"/>
      <c r="E537" s="460"/>
      <c r="F537" s="460"/>
      <c r="G537" s="461"/>
      <c r="H537" s="461"/>
      <c r="I537" s="461"/>
      <c r="J537" s="461"/>
      <c r="K537" s="461"/>
      <c r="L537" s="461"/>
      <c r="M537" s="461"/>
    </row>
    <row r="538" spans="1:13" x14ac:dyDescent="0.25">
      <c r="A538" s="462"/>
      <c r="B538" s="460"/>
      <c r="C538" s="460"/>
      <c r="D538" s="460"/>
      <c r="E538" s="460"/>
      <c r="F538" s="460"/>
      <c r="G538" s="461"/>
      <c r="H538" s="461"/>
      <c r="I538" s="461"/>
      <c r="J538" s="461"/>
      <c r="K538" s="461"/>
      <c r="L538" s="461"/>
      <c r="M538" s="461"/>
    </row>
    <row r="539" spans="1:13" x14ac:dyDescent="0.25">
      <c r="A539" s="462"/>
      <c r="B539" s="460"/>
      <c r="C539" s="460"/>
      <c r="D539" s="460"/>
      <c r="E539" s="460"/>
      <c r="F539" s="460"/>
      <c r="G539" s="461"/>
      <c r="H539" s="461"/>
      <c r="I539" s="461"/>
      <c r="J539" s="461"/>
      <c r="K539" s="461"/>
      <c r="L539" s="461"/>
      <c r="M539" s="461"/>
    </row>
    <row r="540" spans="1:13" x14ac:dyDescent="0.25">
      <c r="A540" s="462"/>
      <c r="B540" s="460"/>
      <c r="C540" s="460"/>
      <c r="D540" s="460"/>
      <c r="E540" s="460"/>
      <c r="F540" s="460"/>
      <c r="G540" s="461"/>
      <c r="H540" s="461"/>
      <c r="I540" s="461"/>
      <c r="J540" s="461"/>
      <c r="K540" s="461"/>
      <c r="L540" s="461"/>
      <c r="M540" s="461"/>
    </row>
    <row r="541" spans="1:13" x14ac:dyDescent="0.25">
      <c r="A541" s="462"/>
      <c r="B541" s="460"/>
      <c r="C541" s="460"/>
      <c r="D541" s="460"/>
      <c r="E541" s="460"/>
      <c r="F541" s="460"/>
      <c r="G541" s="461"/>
      <c r="H541" s="461"/>
      <c r="I541" s="461"/>
      <c r="J541" s="461"/>
      <c r="K541" s="461"/>
      <c r="L541" s="461"/>
      <c r="M541" s="461"/>
    </row>
    <row r="542" spans="1:13" x14ac:dyDescent="0.25">
      <c r="A542" s="462"/>
      <c r="B542" s="460"/>
      <c r="C542" s="460"/>
      <c r="D542" s="460"/>
      <c r="E542" s="460"/>
      <c r="F542" s="460"/>
      <c r="G542" s="461"/>
      <c r="H542" s="461"/>
      <c r="I542" s="461"/>
      <c r="J542" s="461"/>
      <c r="K542" s="461"/>
      <c r="L542" s="461"/>
      <c r="M542" s="461"/>
    </row>
    <row r="543" spans="1:13" x14ac:dyDescent="0.25">
      <c r="A543" s="462"/>
      <c r="B543" s="460"/>
      <c r="C543" s="460"/>
      <c r="D543" s="460"/>
      <c r="E543" s="460"/>
      <c r="F543" s="460"/>
      <c r="G543" s="461"/>
      <c r="H543" s="461"/>
      <c r="I543" s="461"/>
      <c r="J543" s="461"/>
      <c r="K543" s="461"/>
      <c r="L543" s="461"/>
      <c r="M543" s="461"/>
    </row>
    <row r="544" spans="1:13" x14ac:dyDescent="0.25">
      <c r="A544" s="462"/>
      <c r="B544" s="460"/>
      <c r="C544" s="460"/>
      <c r="D544" s="460"/>
      <c r="E544" s="460"/>
      <c r="F544" s="460"/>
      <c r="G544" s="461"/>
      <c r="H544" s="461"/>
      <c r="I544" s="461"/>
      <c r="J544" s="461"/>
      <c r="K544" s="461"/>
      <c r="L544" s="461"/>
      <c r="M544" s="461"/>
    </row>
    <row r="545" spans="1:13" x14ac:dyDescent="0.25">
      <c r="A545" s="462"/>
      <c r="B545" s="460"/>
      <c r="C545" s="460"/>
      <c r="D545" s="460"/>
      <c r="E545" s="460"/>
      <c r="F545" s="460"/>
      <c r="G545" s="461"/>
      <c r="H545" s="461"/>
      <c r="I545" s="461"/>
      <c r="J545" s="461"/>
      <c r="K545" s="461"/>
      <c r="L545" s="461"/>
      <c r="M545" s="461"/>
    </row>
    <row r="546" spans="1:13" x14ac:dyDescent="0.25">
      <c r="A546" s="462"/>
      <c r="B546" s="460"/>
      <c r="C546" s="460"/>
      <c r="D546" s="460"/>
      <c r="E546" s="460"/>
      <c r="F546" s="460"/>
      <c r="G546" s="461"/>
      <c r="H546" s="461"/>
      <c r="I546" s="461"/>
      <c r="J546" s="461"/>
      <c r="K546" s="461"/>
      <c r="L546" s="461"/>
      <c r="M546" s="461"/>
    </row>
    <row r="547" spans="1:13" x14ac:dyDescent="0.25">
      <c r="A547" s="462"/>
      <c r="B547" s="460"/>
      <c r="C547" s="460"/>
      <c r="D547" s="460"/>
      <c r="E547" s="460"/>
      <c r="F547" s="460"/>
      <c r="G547" s="461"/>
      <c r="H547" s="461"/>
      <c r="I547" s="461"/>
      <c r="J547" s="461"/>
      <c r="K547" s="461"/>
      <c r="L547" s="461"/>
      <c r="M547" s="461"/>
    </row>
    <row r="548" spans="1:13" x14ac:dyDescent="0.25">
      <c r="A548" s="462"/>
      <c r="B548" s="460"/>
      <c r="C548" s="460"/>
      <c r="D548" s="460"/>
      <c r="E548" s="460"/>
      <c r="F548" s="460"/>
      <c r="G548" s="461"/>
      <c r="H548" s="461"/>
      <c r="I548" s="461"/>
      <c r="J548" s="461"/>
      <c r="K548" s="461"/>
      <c r="L548" s="461"/>
      <c r="M548" s="461"/>
    </row>
    <row r="549" spans="1:13" x14ac:dyDescent="0.25">
      <c r="A549" s="462"/>
      <c r="B549" s="460"/>
      <c r="C549" s="460"/>
      <c r="D549" s="460"/>
      <c r="E549" s="460"/>
      <c r="F549" s="460"/>
      <c r="G549" s="461"/>
      <c r="H549" s="461"/>
      <c r="I549" s="461"/>
      <c r="J549" s="461"/>
      <c r="K549" s="461"/>
      <c r="L549" s="461"/>
      <c r="M549" s="461"/>
    </row>
    <row r="550" spans="1:13" x14ac:dyDescent="0.25">
      <c r="A550" s="462"/>
      <c r="B550" s="460"/>
      <c r="C550" s="460"/>
      <c r="D550" s="460"/>
      <c r="E550" s="460"/>
      <c r="F550" s="460"/>
      <c r="G550" s="461"/>
      <c r="H550" s="461"/>
      <c r="I550" s="461"/>
      <c r="J550" s="461"/>
      <c r="K550" s="461"/>
      <c r="L550" s="461"/>
      <c r="M550" s="461"/>
    </row>
    <row r="551" spans="1:13" x14ac:dyDescent="0.25">
      <c r="A551" s="462"/>
      <c r="B551" s="460"/>
      <c r="C551" s="460"/>
      <c r="D551" s="460"/>
      <c r="E551" s="460"/>
      <c r="F551" s="460"/>
      <c r="G551" s="461"/>
      <c r="H551" s="461"/>
      <c r="I551" s="461"/>
      <c r="J551" s="461"/>
      <c r="K551" s="461"/>
      <c r="L551" s="461"/>
      <c r="M551" s="461"/>
    </row>
    <row r="552" spans="1:13" x14ac:dyDescent="0.25">
      <c r="A552" s="462"/>
      <c r="B552" s="460"/>
      <c r="C552" s="460"/>
      <c r="D552" s="460"/>
      <c r="E552" s="460"/>
      <c r="F552" s="460"/>
      <c r="G552" s="461"/>
      <c r="H552" s="461"/>
      <c r="I552" s="461"/>
      <c r="J552" s="461"/>
      <c r="K552" s="461"/>
      <c r="L552" s="461"/>
      <c r="M552" s="461"/>
    </row>
    <row r="553" spans="1:13" x14ac:dyDescent="0.25">
      <c r="A553" s="462"/>
      <c r="B553" s="460"/>
      <c r="C553" s="460"/>
      <c r="D553" s="460"/>
      <c r="E553" s="460"/>
      <c r="F553" s="460"/>
      <c r="G553" s="461"/>
      <c r="H553" s="461"/>
      <c r="I553" s="461"/>
      <c r="J553" s="461"/>
      <c r="K553" s="461"/>
      <c r="L553" s="461"/>
      <c r="M553" s="461"/>
    </row>
    <row r="554" spans="1:13" x14ac:dyDescent="0.25">
      <c r="A554" s="462"/>
      <c r="B554" s="460"/>
      <c r="C554" s="460"/>
      <c r="D554" s="460"/>
      <c r="E554" s="460"/>
      <c r="F554" s="460"/>
      <c r="G554" s="461"/>
      <c r="H554" s="461"/>
      <c r="I554" s="461"/>
      <c r="J554" s="461"/>
      <c r="K554" s="461"/>
      <c r="L554" s="461"/>
      <c r="M554" s="461"/>
    </row>
    <row r="555" spans="1:13" x14ac:dyDescent="0.25">
      <c r="A555" s="462"/>
      <c r="B555" s="460"/>
      <c r="C555" s="460"/>
      <c r="D555" s="460"/>
      <c r="E555" s="460"/>
      <c r="F555" s="460"/>
      <c r="G555" s="461"/>
      <c r="H555" s="461"/>
      <c r="I555" s="461"/>
      <c r="J555" s="461"/>
      <c r="K555" s="461"/>
      <c r="L555" s="461"/>
      <c r="M555" s="461"/>
    </row>
    <row r="556" spans="1:13" x14ac:dyDescent="0.25">
      <c r="A556" s="462"/>
      <c r="B556" s="460"/>
      <c r="C556" s="460"/>
      <c r="D556" s="460"/>
      <c r="E556" s="460"/>
      <c r="F556" s="460"/>
      <c r="G556" s="461"/>
      <c r="H556" s="461"/>
      <c r="I556" s="461"/>
      <c r="J556" s="461"/>
      <c r="K556" s="461"/>
      <c r="L556" s="461"/>
      <c r="M556" s="461"/>
    </row>
    <row r="557" spans="1:13" x14ac:dyDescent="0.25">
      <c r="A557" s="462"/>
      <c r="B557" s="460"/>
      <c r="C557" s="460"/>
      <c r="D557" s="460"/>
      <c r="E557" s="460"/>
      <c r="F557" s="460"/>
      <c r="G557" s="461"/>
      <c r="H557" s="461"/>
      <c r="I557" s="461"/>
      <c r="J557" s="461"/>
      <c r="K557" s="461"/>
      <c r="L557" s="461"/>
      <c r="M557" s="461"/>
    </row>
    <row r="558" spans="1:13" x14ac:dyDescent="0.25">
      <c r="A558" s="462"/>
      <c r="B558" s="460"/>
      <c r="C558" s="460"/>
      <c r="D558" s="460"/>
      <c r="E558" s="460"/>
      <c r="F558" s="460"/>
      <c r="G558" s="461"/>
      <c r="H558" s="461"/>
      <c r="I558" s="461"/>
      <c r="J558" s="461"/>
      <c r="K558" s="461"/>
      <c r="L558" s="461"/>
      <c r="M558" s="461"/>
    </row>
    <row r="559" spans="1:13" x14ac:dyDescent="0.25">
      <c r="A559" s="462"/>
      <c r="B559" s="460"/>
      <c r="C559" s="460"/>
      <c r="D559" s="460"/>
      <c r="E559" s="460"/>
      <c r="F559" s="460"/>
      <c r="G559" s="461"/>
      <c r="H559" s="461"/>
      <c r="I559" s="461"/>
      <c r="J559" s="461"/>
      <c r="K559" s="461"/>
      <c r="L559" s="461"/>
      <c r="M559" s="461"/>
    </row>
    <row r="560" spans="1:13" x14ac:dyDescent="0.25">
      <c r="A560" s="462"/>
      <c r="B560" s="460"/>
      <c r="C560" s="460"/>
      <c r="D560" s="460"/>
      <c r="E560" s="460"/>
      <c r="F560" s="460"/>
      <c r="G560" s="461"/>
      <c r="H560" s="461"/>
      <c r="I560" s="461"/>
      <c r="J560" s="461"/>
      <c r="K560" s="461"/>
      <c r="L560" s="461"/>
      <c r="M560" s="461"/>
    </row>
    <row r="561" spans="1:13" x14ac:dyDescent="0.25">
      <c r="A561" s="462"/>
      <c r="B561" s="460"/>
      <c r="C561" s="460"/>
      <c r="D561" s="460"/>
      <c r="E561" s="460"/>
      <c r="F561" s="460"/>
      <c r="G561" s="461"/>
      <c r="H561" s="461"/>
      <c r="I561" s="461"/>
      <c r="J561" s="461"/>
      <c r="K561" s="461"/>
      <c r="L561" s="461"/>
      <c r="M561" s="461"/>
    </row>
    <row r="562" spans="1:13" x14ac:dyDescent="0.25">
      <c r="A562" s="462"/>
      <c r="B562" s="460"/>
      <c r="C562" s="460"/>
      <c r="D562" s="460"/>
      <c r="E562" s="460"/>
      <c r="F562" s="460"/>
      <c r="G562" s="461"/>
      <c r="H562" s="461"/>
      <c r="I562" s="461"/>
      <c r="J562" s="461"/>
      <c r="K562" s="461"/>
      <c r="L562" s="461"/>
      <c r="M562" s="461"/>
    </row>
    <row r="563" spans="1:13" x14ac:dyDescent="0.25">
      <c r="A563" s="462"/>
      <c r="B563" s="460"/>
      <c r="C563" s="460"/>
      <c r="D563" s="460"/>
      <c r="E563" s="460"/>
      <c r="F563" s="460"/>
      <c r="G563" s="461"/>
      <c r="H563" s="461"/>
      <c r="I563" s="461"/>
      <c r="J563" s="461"/>
      <c r="K563" s="461"/>
      <c r="L563" s="461"/>
      <c r="M563" s="461"/>
    </row>
    <row r="564" spans="1:13" x14ac:dyDescent="0.25">
      <c r="A564" s="462"/>
      <c r="B564" s="460"/>
      <c r="C564" s="460"/>
      <c r="D564" s="460"/>
      <c r="E564" s="460"/>
      <c r="F564" s="460"/>
      <c r="G564" s="461"/>
      <c r="H564" s="461"/>
      <c r="I564" s="461"/>
      <c r="J564" s="461"/>
      <c r="K564" s="461"/>
      <c r="L564" s="461"/>
      <c r="M564" s="461"/>
    </row>
    <row r="565" spans="1:13" x14ac:dyDescent="0.25">
      <c r="A565" s="462"/>
      <c r="B565" s="460"/>
      <c r="C565" s="460"/>
      <c r="D565" s="460"/>
      <c r="E565" s="460"/>
      <c r="F565" s="460"/>
      <c r="G565" s="461"/>
      <c r="H565" s="461"/>
      <c r="I565" s="461"/>
      <c r="J565" s="461"/>
      <c r="K565" s="461"/>
      <c r="L565" s="461"/>
      <c r="M565" s="461"/>
    </row>
    <row r="566" spans="1:13" x14ac:dyDescent="0.25">
      <c r="A566" s="462"/>
      <c r="B566" s="460"/>
      <c r="C566" s="460"/>
      <c r="D566" s="460"/>
      <c r="E566" s="460"/>
      <c r="F566" s="460"/>
      <c r="G566" s="461"/>
      <c r="H566" s="461"/>
      <c r="I566" s="461"/>
      <c r="J566" s="461"/>
      <c r="K566" s="461"/>
      <c r="L566" s="461"/>
      <c r="M566" s="461"/>
    </row>
    <row r="567" spans="1:13" x14ac:dyDescent="0.25">
      <c r="A567" s="462"/>
      <c r="B567" s="460"/>
      <c r="C567" s="460"/>
      <c r="D567" s="460"/>
      <c r="E567" s="460"/>
      <c r="F567" s="460"/>
      <c r="G567" s="461"/>
      <c r="H567" s="461"/>
      <c r="I567" s="461"/>
      <c r="J567" s="461"/>
      <c r="K567" s="461"/>
      <c r="L567" s="461"/>
      <c r="M567" s="461"/>
    </row>
    <row r="568" spans="1:13" x14ac:dyDescent="0.25">
      <c r="A568" s="462"/>
      <c r="B568" s="460"/>
      <c r="C568" s="460"/>
      <c r="D568" s="460"/>
      <c r="E568" s="460"/>
      <c r="F568" s="460"/>
      <c r="G568" s="461"/>
      <c r="H568" s="461"/>
      <c r="I568" s="461"/>
      <c r="J568" s="461"/>
      <c r="K568" s="461"/>
      <c r="L568" s="461"/>
      <c r="M568" s="461"/>
    </row>
    <row r="569" spans="1:13" x14ac:dyDescent="0.25">
      <c r="A569" s="462"/>
      <c r="B569" s="460"/>
      <c r="C569" s="460"/>
      <c r="D569" s="460"/>
      <c r="E569" s="460"/>
      <c r="F569" s="460"/>
      <c r="G569" s="461"/>
      <c r="H569" s="461"/>
      <c r="I569" s="461"/>
      <c r="J569" s="461"/>
      <c r="K569" s="461"/>
      <c r="L569" s="461"/>
      <c r="M569" s="461"/>
    </row>
    <row r="570" spans="1:13" x14ac:dyDescent="0.25">
      <c r="A570" s="462"/>
      <c r="B570" s="460"/>
      <c r="C570" s="460"/>
      <c r="D570" s="460"/>
      <c r="E570" s="460"/>
      <c r="F570" s="460"/>
      <c r="G570" s="461"/>
      <c r="H570" s="461"/>
      <c r="I570" s="461"/>
      <c r="J570" s="461"/>
      <c r="K570" s="461"/>
      <c r="L570" s="461"/>
      <c r="M570" s="461"/>
    </row>
    <row r="571" spans="1:13" x14ac:dyDescent="0.25">
      <c r="A571" s="462"/>
      <c r="B571" s="460"/>
      <c r="C571" s="460"/>
      <c r="D571" s="460"/>
      <c r="E571" s="460"/>
      <c r="F571" s="460"/>
      <c r="G571" s="461"/>
      <c r="H571" s="461"/>
      <c r="I571" s="461"/>
      <c r="J571" s="461"/>
      <c r="K571" s="461"/>
      <c r="L571" s="461"/>
      <c r="M571" s="461"/>
    </row>
    <row r="572" spans="1:13" x14ac:dyDescent="0.25">
      <c r="A572" s="462"/>
      <c r="B572" s="460"/>
      <c r="C572" s="460"/>
      <c r="D572" s="460"/>
      <c r="E572" s="460"/>
      <c r="F572" s="460"/>
      <c r="G572" s="461"/>
      <c r="H572" s="461"/>
      <c r="I572" s="461"/>
      <c r="J572" s="461"/>
      <c r="K572" s="461"/>
      <c r="L572" s="461"/>
      <c r="M572" s="461"/>
    </row>
    <row r="573" spans="1:13" x14ac:dyDescent="0.25">
      <c r="A573" s="462"/>
      <c r="B573" s="460"/>
      <c r="C573" s="460"/>
      <c r="D573" s="460"/>
      <c r="E573" s="460"/>
      <c r="F573" s="460"/>
      <c r="G573" s="461"/>
      <c r="H573" s="461"/>
      <c r="I573" s="461"/>
      <c r="J573" s="461"/>
      <c r="K573" s="461"/>
      <c r="L573" s="461"/>
      <c r="M573" s="461"/>
    </row>
    <row r="574" spans="1:13" x14ac:dyDescent="0.25">
      <c r="A574" s="462"/>
      <c r="B574" s="460"/>
      <c r="C574" s="460"/>
      <c r="D574" s="460"/>
      <c r="E574" s="460"/>
      <c r="F574" s="460"/>
      <c r="G574" s="461"/>
      <c r="H574" s="461"/>
      <c r="I574" s="461"/>
      <c r="J574" s="461"/>
      <c r="K574" s="461"/>
      <c r="L574" s="461"/>
      <c r="M574" s="461"/>
    </row>
    <row r="575" spans="1:13" x14ac:dyDescent="0.25">
      <c r="A575" s="462"/>
      <c r="B575" s="460"/>
      <c r="C575" s="460"/>
      <c r="D575" s="460"/>
      <c r="E575" s="460"/>
      <c r="F575" s="460"/>
      <c r="G575" s="461"/>
      <c r="H575" s="461"/>
      <c r="I575" s="461"/>
      <c r="J575" s="461"/>
      <c r="K575" s="461"/>
      <c r="L575" s="461"/>
      <c r="M575" s="461"/>
    </row>
    <row r="576" spans="1:13" x14ac:dyDescent="0.25">
      <c r="A576" s="462"/>
      <c r="B576" s="460"/>
      <c r="C576" s="460"/>
      <c r="D576" s="460"/>
      <c r="E576" s="460"/>
      <c r="F576" s="460"/>
      <c r="G576" s="461"/>
      <c r="H576" s="461"/>
      <c r="I576" s="461"/>
      <c r="J576" s="461"/>
      <c r="K576" s="461"/>
      <c r="L576" s="461"/>
      <c r="M576" s="461"/>
    </row>
    <row r="577" spans="1:13" x14ac:dyDescent="0.25">
      <c r="A577" s="462"/>
      <c r="B577" s="460"/>
      <c r="C577" s="460"/>
      <c r="D577" s="460"/>
      <c r="E577" s="460"/>
      <c r="F577" s="460"/>
      <c r="G577" s="461"/>
      <c r="H577" s="461"/>
      <c r="I577" s="461"/>
      <c r="J577" s="461"/>
      <c r="K577" s="461"/>
      <c r="L577" s="461"/>
      <c r="M577" s="461"/>
    </row>
    <row r="578" spans="1:13" x14ac:dyDescent="0.25">
      <c r="A578" s="462"/>
      <c r="B578" s="460"/>
      <c r="C578" s="460"/>
      <c r="D578" s="460"/>
      <c r="E578" s="460"/>
      <c r="F578" s="460"/>
      <c r="G578" s="461"/>
      <c r="H578" s="461"/>
      <c r="I578" s="461"/>
      <c r="J578" s="461"/>
      <c r="K578" s="461"/>
      <c r="L578" s="461"/>
      <c r="M578" s="461"/>
    </row>
    <row r="579" spans="1:13" x14ac:dyDescent="0.25">
      <c r="A579" s="462"/>
      <c r="B579" s="460"/>
      <c r="C579" s="460"/>
      <c r="D579" s="460"/>
      <c r="E579" s="460"/>
      <c r="F579" s="460"/>
      <c r="G579" s="461"/>
      <c r="H579" s="461"/>
      <c r="I579" s="461"/>
      <c r="J579" s="461"/>
      <c r="K579" s="461"/>
      <c r="L579" s="461"/>
      <c r="M579" s="461"/>
    </row>
    <row r="580" spans="1:13" x14ac:dyDescent="0.25">
      <c r="A580" s="462"/>
      <c r="B580" s="460"/>
      <c r="C580" s="460"/>
      <c r="D580" s="460"/>
      <c r="E580" s="460"/>
      <c r="F580" s="460"/>
      <c r="G580" s="461"/>
      <c r="H580" s="461"/>
      <c r="I580" s="461"/>
      <c r="J580" s="461"/>
      <c r="K580" s="461"/>
      <c r="L580" s="461"/>
      <c r="M580" s="461"/>
    </row>
    <row r="581" spans="1:13" x14ac:dyDescent="0.25">
      <c r="A581" s="462"/>
      <c r="B581" s="460"/>
      <c r="C581" s="460"/>
      <c r="D581" s="460"/>
      <c r="E581" s="460"/>
      <c r="F581" s="460"/>
      <c r="G581" s="461"/>
      <c r="H581" s="461"/>
      <c r="I581" s="461"/>
      <c r="J581" s="461"/>
      <c r="K581" s="461"/>
      <c r="L581" s="461"/>
      <c r="M581" s="461"/>
    </row>
    <row r="582" spans="1:13" x14ac:dyDescent="0.25">
      <c r="A582" s="462"/>
      <c r="B582" s="460"/>
      <c r="C582" s="460"/>
      <c r="D582" s="460"/>
      <c r="E582" s="460"/>
      <c r="F582" s="460"/>
      <c r="G582" s="461"/>
      <c r="H582" s="461"/>
      <c r="I582" s="461"/>
      <c r="J582" s="461"/>
      <c r="K582" s="461"/>
      <c r="L582" s="461"/>
      <c r="M582" s="461"/>
    </row>
    <row r="583" spans="1:13" x14ac:dyDescent="0.25">
      <c r="A583" s="462"/>
      <c r="B583" s="460"/>
      <c r="C583" s="460"/>
      <c r="D583" s="460"/>
      <c r="E583" s="460"/>
      <c r="F583" s="460"/>
      <c r="G583" s="461"/>
      <c r="H583" s="461"/>
      <c r="I583" s="461"/>
      <c r="J583" s="461"/>
      <c r="K583" s="461"/>
      <c r="L583" s="461"/>
      <c r="M583" s="461"/>
    </row>
    <row r="584" spans="1:13" x14ac:dyDescent="0.25">
      <c r="A584" s="462"/>
      <c r="B584" s="460"/>
      <c r="C584" s="460"/>
      <c r="D584" s="460"/>
      <c r="E584" s="460"/>
      <c r="F584" s="460"/>
      <c r="G584" s="461"/>
      <c r="H584" s="461"/>
      <c r="I584" s="461"/>
      <c r="J584" s="461"/>
      <c r="K584" s="461"/>
      <c r="L584" s="461"/>
      <c r="M584" s="461"/>
    </row>
    <row r="585" spans="1:13" x14ac:dyDescent="0.25">
      <c r="A585" s="462"/>
      <c r="B585" s="460"/>
      <c r="C585" s="460"/>
      <c r="D585" s="460"/>
      <c r="E585" s="460"/>
      <c r="F585" s="460"/>
      <c r="G585" s="461"/>
      <c r="H585" s="461"/>
      <c r="I585" s="461"/>
      <c r="J585" s="461"/>
      <c r="K585" s="461"/>
      <c r="L585" s="461"/>
      <c r="M585" s="461"/>
    </row>
    <row r="586" spans="1:13" x14ac:dyDescent="0.25">
      <c r="A586" s="462"/>
      <c r="B586" s="460"/>
      <c r="C586" s="460"/>
      <c r="D586" s="460"/>
      <c r="E586" s="460"/>
      <c r="F586" s="460"/>
      <c r="G586" s="461"/>
      <c r="H586" s="461"/>
      <c r="I586" s="461"/>
      <c r="J586" s="461"/>
      <c r="K586" s="461"/>
      <c r="L586" s="461"/>
      <c r="M586" s="461"/>
    </row>
    <row r="587" spans="1:13" x14ac:dyDescent="0.25">
      <c r="A587" s="462"/>
      <c r="B587" s="460"/>
      <c r="C587" s="460"/>
      <c r="D587" s="460"/>
      <c r="E587" s="460"/>
      <c r="F587" s="460"/>
      <c r="G587" s="461"/>
      <c r="H587" s="461"/>
      <c r="I587" s="461"/>
      <c r="J587" s="461"/>
      <c r="K587" s="461"/>
      <c r="L587" s="461"/>
      <c r="M587" s="461"/>
    </row>
    <row r="588" spans="1:13" x14ac:dyDescent="0.25">
      <c r="A588" s="462"/>
      <c r="B588" s="460"/>
      <c r="C588" s="460"/>
      <c r="D588" s="460"/>
      <c r="E588" s="460"/>
      <c r="F588" s="460"/>
      <c r="G588" s="461"/>
      <c r="H588" s="461"/>
      <c r="I588" s="461"/>
      <c r="J588" s="461"/>
      <c r="K588" s="461"/>
      <c r="L588" s="461"/>
      <c r="M588" s="461"/>
    </row>
    <row r="589" spans="1:13" x14ac:dyDescent="0.25">
      <c r="A589" s="462"/>
      <c r="B589" s="460"/>
      <c r="C589" s="460"/>
      <c r="D589" s="460"/>
      <c r="E589" s="460"/>
      <c r="F589" s="460"/>
      <c r="G589" s="461"/>
      <c r="H589" s="461"/>
      <c r="I589" s="461"/>
      <c r="J589" s="461"/>
      <c r="K589" s="461"/>
      <c r="L589" s="461"/>
      <c r="M589" s="461"/>
    </row>
    <row r="590" spans="1:13" x14ac:dyDescent="0.25">
      <c r="A590" s="462"/>
      <c r="B590" s="460"/>
      <c r="C590" s="460"/>
      <c r="D590" s="460"/>
      <c r="E590" s="460"/>
      <c r="F590" s="460"/>
      <c r="G590" s="461"/>
      <c r="H590" s="461"/>
      <c r="I590" s="461"/>
      <c r="J590" s="461"/>
      <c r="K590" s="461"/>
      <c r="L590" s="461"/>
      <c r="M590" s="461"/>
    </row>
    <row r="591" spans="1:13" x14ac:dyDescent="0.25">
      <c r="A591" s="462"/>
      <c r="B591" s="460"/>
      <c r="C591" s="460"/>
      <c r="D591" s="460"/>
      <c r="E591" s="460"/>
      <c r="F591" s="460"/>
      <c r="G591" s="461"/>
      <c r="H591" s="461"/>
      <c r="I591" s="461"/>
      <c r="J591" s="461"/>
      <c r="K591" s="461"/>
      <c r="L591" s="461"/>
      <c r="M591" s="461"/>
    </row>
    <row r="592" spans="1:13" x14ac:dyDescent="0.25">
      <c r="A592" s="462"/>
      <c r="B592" s="460"/>
      <c r="C592" s="460"/>
      <c r="D592" s="460"/>
      <c r="E592" s="460"/>
      <c r="F592" s="460"/>
      <c r="G592" s="461"/>
      <c r="H592" s="461"/>
      <c r="I592" s="461"/>
      <c r="J592" s="461"/>
      <c r="K592" s="461"/>
      <c r="L592" s="461"/>
      <c r="M592" s="461"/>
    </row>
    <row r="593" spans="1:13" x14ac:dyDescent="0.25">
      <c r="A593" s="462"/>
      <c r="B593" s="460"/>
      <c r="C593" s="460"/>
      <c r="D593" s="460"/>
      <c r="E593" s="460"/>
      <c r="F593" s="460"/>
      <c r="G593" s="461"/>
      <c r="H593" s="461"/>
      <c r="I593" s="461"/>
      <c r="J593" s="461"/>
      <c r="K593" s="461"/>
      <c r="L593" s="461"/>
      <c r="M593" s="461"/>
    </row>
    <row r="594" spans="1:13" x14ac:dyDescent="0.25">
      <c r="A594" s="462"/>
      <c r="B594" s="460"/>
      <c r="C594" s="460"/>
      <c r="D594" s="460"/>
      <c r="E594" s="460"/>
      <c r="F594" s="460"/>
      <c r="G594" s="461"/>
      <c r="H594" s="461"/>
      <c r="I594" s="461"/>
      <c r="J594" s="461"/>
      <c r="K594" s="461"/>
      <c r="L594" s="461"/>
      <c r="M594" s="461"/>
    </row>
    <row r="595" spans="1:13" x14ac:dyDescent="0.25">
      <c r="A595" s="462"/>
      <c r="B595" s="460"/>
      <c r="C595" s="460"/>
      <c r="D595" s="460"/>
      <c r="E595" s="460"/>
      <c r="F595" s="460"/>
      <c r="G595" s="461"/>
      <c r="H595" s="461"/>
      <c r="I595" s="461"/>
      <c r="J595" s="461"/>
      <c r="K595" s="461"/>
      <c r="L595" s="461"/>
      <c r="M595" s="461"/>
    </row>
    <row r="596" spans="1:13" x14ac:dyDescent="0.25">
      <c r="A596" s="462"/>
      <c r="B596" s="460"/>
      <c r="C596" s="460"/>
      <c r="D596" s="460"/>
      <c r="E596" s="460"/>
      <c r="F596" s="460"/>
      <c r="G596" s="461"/>
      <c r="H596" s="461"/>
      <c r="I596" s="461"/>
      <c r="J596" s="461"/>
      <c r="K596" s="461"/>
      <c r="L596" s="461"/>
      <c r="M596" s="461"/>
    </row>
    <row r="597" spans="1:13" x14ac:dyDescent="0.25">
      <c r="A597" s="462"/>
      <c r="B597" s="460"/>
      <c r="C597" s="460"/>
      <c r="D597" s="460"/>
      <c r="E597" s="460"/>
      <c r="F597" s="460"/>
      <c r="G597" s="461"/>
      <c r="H597" s="461"/>
      <c r="I597" s="461"/>
      <c r="J597" s="461"/>
      <c r="K597" s="461"/>
      <c r="L597" s="461"/>
      <c r="M597" s="461"/>
    </row>
    <row r="598" spans="1:13" x14ac:dyDescent="0.25">
      <c r="A598" s="462"/>
      <c r="B598" s="460"/>
      <c r="C598" s="460"/>
      <c r="D598" s="460"/>
      <c r="E598" s="460"/>
      <c r="F598" s="460"/>
      <c r="G598" s="461"/>
      <c r="H598" s="461"/>
      <c r="I598" s="461"/>
      <c r="J598" s="461"/>
      <c r="K598" s="461"/>
      <c r="L598" s="461"/>
      <c r="M598" s="461"/>
    </row>
    <row r="599" spans="1:13" x14ac:dyDescent="0.25">
      <c r="A599" s="462"/>
      <c r="B599" s="460"/>
      <c r="C599" s="460"/>
      <c r="D599" s="460"/>
      <c r="E599" s="460"/>
      <c r="F599" s="460"/>
      <c r="G599" s="461"/>
      <c r="H599" s="461"/>
      <c r="I599" s="461"/>
      <c r="J599" s="461"/>
      <c r="K599" s="461"/>
      <c r="L599" s="461"/>
      <c r="M599" s="461"/>
    </row>
    <row r="600" spans="1:13" x14ac:dyDescent="0.25">
      <c r="A600" s="462"/>
      <c r="B600" s="460"/>
      <c r="C600" s="460"/>
      <c r="D600" s="460"/>
      <c r="E600" s="460"/>
      <c r="F600" s="460"/>
      <c r="G600" s="461"/>
      <c r="H600" s="461"/>
      <c r="I600" s="461"/>
      <c r="J600" s="461"/>
      <c r="K600" s="461"/>
      <c r="L600" s="461"/>
      <c r="M600" s="461"/>
    </row>
    <row r="601" spans="1:13" x14ac:dyDescent="0.25">
      <c r="A601" s="462"/>
      <c r="B601" s="460"/>
      <c r="C601" s="460"/>
      <c r="D601" s="460"/>
      <c r="E601" s="460"/>
      <c r="F601" s="460"/>
      <c r="G601" s="461"/>
      <c r="H601" s="461"/>
      <c r="I601" s="461"/>
      <c r="J601" s="461"/>
      <c r="K601" s="461"/>
      <c r="L601" s="461"/>
      <c r="M601" s="461"/>
    </row>
    <row r="602" spans="1:13" x14ac:dyDescent="0.25">
      <c r="A602" s="462"/>
      <c r="B602" s="460"/>
      <c r="C602" s="460"/>
      <c r="D602" s="460"/>
      <c r="E602" s="460"/>
      <c r="F602" s="460"/>
      <c r="G602" s="461"/>
      <c r="H602" s="461"/>
      <c r="I602" s="461"/>
      <c r="J602" s="461"/>
      <c r="K602" s="461"/>
      <c r="L602" s="461"/>
      <c r="M602" s="461"/>
    </row>
    <row r="603" spans="1:13" x14ac:dyDescent="0.25">
      <c r="A603" s="462"/>
      <c r="B603" s="460"/>
      <c r="C603" s="460"/>
      <c r="D603" s="460"/>
      <c r="E603" s="460"/>
      <c r="F603" s="460"/>
      <c r="G603" s="461"/>
      <c r="H603" s="461"/>
      <c r="I603" s="461"/>
      <c r="J603" s="461"/>
      <c r="K603" s="461"/>
      <c r="L603" s="461"/>
      <c r="M603" s="461"/>
    </row>
    <row r="604" spans="1:13" x14ac:dyDescent="0.25">
      <c r="A604" s="462"/>
      <c r="B604" s="460"/>
      <c r="C604" s="460"/>
      <c r="D604" s="460"/>
      <c r="E604" s="460"/>
      <c r="F604" s="460"/>
      <c r="G604" s="461"/>
      <c r="H604" s="461"/>
      <c r="I604" s="461"/>
      <c r="J604" s="461"/>
      <c r="K604" s="461"/>
      <c r="L604" s="461"/>
      <c r="M604" s="461"/>
    </row>
    <row r="605" spans="1:13" x14ac:dyDescent="0.25">
      <c r="A605" s="462"/>
      <c r="B605" s="460"/>
      <c r="C605" s="460"/>
      <c r="D605" s="460"/>
      <c r="E605" s="460"/>
      <c r="F605" s="460"/>
      <c r="G605" s="461"/>
      <c r="H605" s="461"/>
      <c r="I605" s="461"/>
      <c r="J605" s="461"/>
      <c r="K605" s="461"/>
      <c r="L605" s="461"/>
      <c r="M605" s="461"/>
    </row>
    <row r="606" spans="1:13" x14ac:dyDescent="0.25">
      <c r="A606" s="462"/>
      <c r="B606" s="460"/>
      <c r="C606" s="460"/>
      <c r="D606" s="460"/>
      <c r="E606" s="460"/>
      <c r="F606" s="460"/>
      <c r="G606" s="461"/>
      <c r="H606" s="461"/>
      <c r="I606" s="461"/>
      <c r="J606" s="461"/>
      <c r="K606" s="461"/>
      <c r="L606" s="461"/>
      <c r="M606" s="461"/>
    </row>
    <row r="607" spans="1:13" x14ac:dyDescent="0.25">
      <c r="A607" s="462"/>
      <c r="B607" s="460"/>
      <c r="C607" s="460"/>
      <c r="D607" s="460"/>
      <c r="E607" s="460"/>
      <c r="F607" s="460"/>
      <c r="G607" s="461"/>
      <c r="H607" s="461"/>
      <c r="I607" s="461"/>
      <c r="J607" s="461"/>
      <c r="K607" s="461"/>
      <c r="L607" s="461"/>
      <c r="M607" s="461"/>
    </row>
    <row r="608" spans="1:13" x14ac:dyDescent="0.25">
      <c r="A608" s="462"/>
      <c r="B608" s="460"/>
      <c r="C608" s="460"/>
      <c r="D608" s="460"/>
      <c r="E608" s="460"/>
      <c r="F608" s="460"/>
      <c r="G608" s="461"/>
      <c r="H608" s="461"/>
      <c r="I608" s="461"/>
      <c r="J608" s="461"/>
      <c r="K608" s="461"/>
      <c r="L608" s="461"/>
      <c r="M608" s="461"/>
    </row>
    <row r="609" spans="1:13" x14ac:dyDescent="0.25">
      <c r="A609" s="462"/>
      <c r="B609" s="460"/>
      <c r="C609" s="460"/>
      <c r="D609" s="460"/>
      <c r="E609" s="460"/>
      <c r="F609" s="460"/>
      <c r="G609" s="461"/>
      <c r="H609" s="461"/>
      <c r="I609" s="461"/>
      <c r="J609" s="461"/>
      <c r="K609" s="461"/>
      <c r="L609" s="461"/>
      <c r="M609" s="461"/>
    </row>
    <row r="610" spans="1:13" x14ac:dyDescent="0.25">
      <c r="A610" s="462"/>
      <c r="B610" s="460"/>
      <c r="C610" s="460"/>
      <c r="D610" s="460"/>
      <c r="E610" s="460"/>
      <c r="F610" s="460"/>
      <c r="G610" s="461"/>
      <c r="H610" s="461"/>
      <c r="I610" s="461"/>
      <c r="J610" s="461"/>
      <c r="K610" s="461"/>
      <c r="L610" s="461"/>
      <c r="M610" s="461"/>
    </row>
    <row r="611" spans="1:13" x14ac:dyDescent="0.25">
      <c r="A611" s="462"/>
      <c r="B611" s="460"/>
      <c r="C611" s="460"/>
      <c r="D611" s="460"/>
      <c r="E611" s="460"/>
      <c r="F611" s="460"/>
      <c r="G611" s="461"/>
      <c r="H611" s="461"/>
      <c r="I611" s="461"/>
      <c r="J611" s="461"/>
      <c r="K611" s="461"/>
      <c r="L611" s="461"/>
      <c r="M611" s="461"/>
    </row>
    <row r="612" spans="1:13" x14ac:dyDescent="0.25">
      <c r="A612" s="462"/>
      <c r="B612" s="460"/>
      <c r="C612" s="460"/>
      <c r="D612" s="460"/>
      <c r="E612" s="460"/>
      <c r="F612" s="460"/>
      <c r="G612" s="461"/>
      <c r="H612" s="461"/>
      <c r="I612" s="461"/>
      <c r="J612" s="461"/>
      <c r="K612" s="461"/>
      <c r="L612" s="461"/>
      <c r="M612" s="461"/>
    </row>
    <row r="613" spans="1:13" x14ac:dyDescent="0.25">
      <c r="A613" s="462"/>
      <c r="B613" s="460"/>
      <c r="C613" s="460"/>
      <c r="D613" s="460"/>
      <c r="E613" s="460"/>
      <c r="F613" s="460"/>
      <c r="G613" s="461"/>
      <c r="H613" s="461"/>
      <c r="I613" s="461"/>
      <c r="J613" s="461"/>
      <c r="K613" s="461"/>
      <c r="L613" s="461"/>
      <c r="M613" s="461"/>
    </row>
    <row r="614" spans="1:13" x14ac:dyDescent="0.25">
      <c r="A614" s="462"/>
      <c r="B614" s="460"/>
      <c r="C614" s="460"/>
      <c r="D614" s="460"/>
      <c r="E614" s="460"/>
      <c r="F614" s="460"/>
      <c r="G614" s="461"/>
      <c r="H614" s="461"/>
      <c r="I614" s="461"/>
      <c r="J614" s="461"/>
      <c r="K614" s="461"/>
      <c r="L614" s="461"/>
      <c r="M614" s="461"/>
    </row>
    <row r="615" spans="1:13" x14ac:dyDescent="0.25">
      <c r="A615" s="462"/>
      <c r="B615" s="460"/>
      <c r="C615" s="460"/>
      <c r="D615" s="460"/>
      <c r="E615" s="460"/>
      <c r="F615" s="460"/>
      <c r="G615" s="461"/>
      <c r="H615" s="461"/>
      <c r="I615" s="461"/>
      <c r="J615" s="461"/>
      <c r="K615" s="461"/>
      <c r="L615" s="461"/>
      <c r="M615" s="461"/>
    </row>
    <row r="616" spans="1:13" x14ac:dyDescent="0.25">
      <c r="A616" s="462"/>
      <c r="B616" s="460"/>
      <c r="C616" s="460"/>
      <c r="D616" s="460"/>
      <c r="E616" s="460"/>
      <c r="F616" s="460"/>
      <c r="G616" s="461"/>
      <c r="H616" s="461"/>
      <c r="I616" s="461"/>
      <c r="J616" s="461"/>
      <c r="K616" s="461"/>
      <c r="L616" s="461"/>
      <c r="M616" s="461"/>
    </row>
    <row r="617" spans="1:13" x14ac:dyDescent="0.25">
      <c r="A617" s="462"/>
      <c r="B617" s="460"/>
      <c r="C617" s="460"/>
      <c r="D617" s="460"/>
      <c r="E617" s="460"/>
      <c r="F617" s="460"/>
      <c r="G617" s="461"/>
      <c r="H617" s="461"/>
      <c r="I617" s="461"/>
      <c r="J617" s="461"/>
      <c r="K617" s="461"/>
      <c r="L617" s="461"/>
      <c r="M617" s="461"/>
    </row>
    <row r="618" spans="1:13" x14ac:dyDescent="0.25">
      <c r="A618" s="462"/>
      <c r="B618" s="460"/>
      <c r="C618" s="460"/>
      <c r="D618" s="460"/>
      <c r="E618" s="460"/>
      <c r="F618" s="460"/>
      <c r="G618" s="461"/>
      <c r="H618" s="461"/>
      <c r="I618" s="461"/>
      <c r="J618" s="461"/>
      <c r="K618" s="461"/>
      <c r="L618" s="461"/>
      <c r="M618" s="461"/>
    </row>
    <row r="619" spans="1:13" x14ac:dyDescent="0.25">
      <c r="A619" s="462"/>
      <c r="B619" s="460"/>
      <c r="C619" s="460"/>
      <c r="D619" s="460"/>
      <c r="E619" s="460"/>
      <c r="F619" s="460"/>
      <c r="G619" s="461"/>
      <c r="H619" s="461"/>
      <c r="I619" s="461"/>
      <c r="J619" s="461"/>
      <c r="K619" s="461"/>
      <c r="L619" s="461"/>
      <c r="M619" s="461"/>
    </row>
    <row r="620" spans="1:13" x14ac:dyDescent="0.25">
      <c r="A620" s="462"/>
      <c r="B620" s="460"/>
      <c r="C620" s="460"/>
      <c r="D620" s="460"/>
      <c r="E620" s="460"/>
      <c r="F620" s="460"/>
      <c r="G620" s="461"/>
      <c r="H620" s="461"/>
      <c r="I620" s="461"/>
      <c r="J620" s="461"/>
      <c r="K620" s="461"/>
      <c r="L620" s="461"/>
      <c r="M620" s="461"/>
    </row>
    <row r="621" spans="1:13" x14ac:dyDescent="0.25">
      <c r="A621" s="462"/>
      <c r="B621" s="460"/>
      <c r="C621" s="460"/>
      <c r="D621" s="460"/>
      <c r="E621" s="460"/>
      <c r="F621" s="460"/>
      <c r="G621" s="461"/>
      <c r="H621" s="461"/>
      <c r="I621" s="461"/>
      <c r="J621" s="461"/>
      <c r="K621" s="461"/>
      <c r="L621" s="461"/>
      <c r="M621" s="461"/>
    </row>
    <row r="622" spans="1:13" x14ac:dyDescent="0.25">
      <c r="A622" s="462"/>
      <c r="B622" s="460"/>
      <c r="C622" s="460"/>
      <c r="D622" s="460"/>
      <c r="E622" s="460"/>
      <c r="F622" s="460"/>
      <c r="G622" s="461"/>
      <c r="H622" s="461"/>
      <c r="I622" s="461"/>
      <c r="J622" s="461"/>
      <c r="K622" s="461"/>
      <c r="L622" s="461"/>
      <c r="M622" s="461"/>
    </row>
    <row r="623" spans="1:13" x14ac:dyDescent="0.25">
      <c r="A623" s="462"/>
      <c r="B623" s="460"/>
      <c r="C623" s="460"/>
      <c r="D623" s="460"/>
      <c r="E623" s="460"/>
      <c r="F623" s="460"/>
      <c r="G623" s="461"/>
      <c r="H623" s="461"/>
      <c r="I623" s="461"/>
      <c r="J623" s="461"/>
      <c r="K623" s="461"/>
      <c r="L623" s="461"/>
      <c r="M623" s="461"/>
    </row>
    <row r="624" spans="1:13" x14ac:dyDescent="0.25">
      <c r="A624" s="462"/>
      <c r="B624" s="460"/>
      <c r="C624" s="460"/>
      <c r="D624" s="460"/>
      <c r="E624" s="460"/>
      <c r="F624" s="460"/>
      <c r="G624" s="461"/>
      <c r="H624" s="461"/>
      <c r="I624" s="461"/>
      <c r="J624" s="461"/>
      <c r="K624" s="461"/>
      <c r="L624" s="461"/>
      <c r="M624" s="461"/>
    </row>
    <row r="625" spans="1:13" x14ac:dyDescent="0.25">
      <c r="A625" s="462"/>
      <c r="B625" s="460"/>
      <c r="C625" s="460"/>
      <c r="D625" s="460"/>
      <c r="E625" s="460"/>
      <c r="F625" s="460"/>
      <c r="G625" s="461"/>
      <c r="H625" s="461"/>
      <c r="I625" s="461"/>
      <c r="J625" s="461"/>
      <c r="K625" s="461"/>
      <c r="L625" s="461"/>
      <c r="M625" s="461"/>
    </row>
    <row r="626" spans="1:13" x14ac:dyDescent="0.25">
      <c r="A626" s="462"/>
      <c r="B626" s="460"/>
      <c r="C626" s="460"/>
      <c r="D626" s="460"/>
      <c r="E626" s="460"/>
      <c r="F626" s="460"/>
      <c r="G626" s="461"/>
      <c r="H626" s="461"/>
      <c r="I626" s="461"/>
      <c r="J626" s="461"/>
      <c r="K626" s="461"/>
      <c r="L626" s="461"/>
      <c r="M626" s="461"/>
    </row>
    <row r="627" spans="1:13" x14ac:dyDescent="0.25">
      <c r="A627" s="462"/>
      <c r="B627" s="460"/>
      <c r="C627" s="460"/>
      <c r="D627" s="460"/>
      <c r="E627" s="460"/>
      <c r="F627" s="460"/>
      <c r="G627" s="461"/>
      <c r="H627" s="461"/>
      <c r="I627" s="461"/>
      <c r="J627" s="461"/>
      <c r="K627" s="461"/>
      <c r="L627" s="461"/>
      <c r="M627" s="461"/>
    </row>
    <row r="628" spans="1:13" x14ac:dyDescent="0.25">
      <c r="A628" s="462"/>
      <c r="B628" s="460"/>
      <c r="C628" s="460"/>
      <c r="D628" s="460"/>
      <c r="E628" s="460"/>
      <c r="F628" s="460"/>
      <c r="G628" s="461"/>
      <c r="H628" s="461"/>
      <c r="I628" s="461"/>
      <c r="J628" s="461"/>
      <c r="K628" s="461"/>
      <c r="L628" s="461"/>
      <c r="M628" s="461"/>
    </row>
    <row r="629" spans="1:13" x14ac:dyDescent="0.25">
      <c r="A629" s="462"/>
      <c r="B629" s="460"/>
      <c r="C629" s="460"/>
      <c r="D629" s="460"/>
      <c r="E629" s="460"/>
      <c r="F629" s="460"/>
      <c r="G629" s="461"/>
      <c r="H629" s="461"/>
      <c r="I629" s="461"/>
      <c r="J629" s="461"/>
      <c r="K629" s="461"/>
      <c r="L629" s="461"/>
      <c r="M629" s="461"/>
    </row>
    <row r="630" spans="1:13" x14ac:dyDescent="0.25">
      <c r="A630" s="462"/>
      <c r="B630" s="460"/>
      <c r="C630" s="460"/>
      <c r="D630" s="460"/>
      <c r="E630" s="460"/>
      <c r="F630" s="460"/>
      <c r="G630" s="461"/>
      <c r="H630" s="461"/>
      <c r="I630" s="461"/>
      <c r="J630" s="461"/>
      <c r="K630" s="461"/>
      <c r="L630" s="461"/>
      <c r="M630" s="461"/>
    </row>
    <row r="631" spans="1:13" x14ac:dyDescent="0.25">
      <c r="A631" s="462"/>
      <c r="B631" s="460"/>
      <c r="C631" s="460"/>
      <c r="D631" s="460"/>
      <c r="E631" s="460"/>
      <c r="F631" s="460"/>
      <c r="G631" s="461"/>
      <c r="H631" s="461"/>
      <c r="I631" s="461"/>
      <c r="J631" s="461"/>
      <c r="K631" s="461"/>
      <c r="L631" s="461"/>
      <c r="M631" s="461"/>
    </row>
    <row r="632" spans="1:13" x14ac:dyDescent="0.25">
      <c r="A632" s="462"/>
      <c r="B632" s="460"/>
      <c r="C632" s="460"/>
      <c r="D632" s="460"/>
      <c r="E632" s="460"/>
      <c r="F632" s="460"/>
      <c r="G632" s="461"/>
      <c r="H632" s="461"/>
      <c r="I632" s="461"/>
      <c r="J632" s="461"/>
      <c r="K632" s="461"/>
      <c r="L632" s="461"/>
      <c r="M632" s="461"/>
    </row>
    <row r="633" spans="1:13" x14ac:dyDescent="0.25">
      <c r="A633" s="462"/>
      <c r="B633" s="460"/>
      <c r="C633" s="460"/>
      <c r="D633" s="460"/>
      <c r="E633" s="460"/>
      <c r="F633" s="460"/>
      <c r="G633" s="461"/>
      <c r="H633" s="461"/>
      <c r="I633" s="461"/>
      <c r="J633" s="461"/>
      <c r="K633" s="461"/>
      <c r="L633" s="461"/>
      <c r="M633" s="461"/>
    </row>
    <row r="634" spans="1:13" x14ac:dyDescent="0.25">
      <c r="A634" s="462"/>
      <c r="B634" s="460"/>
      <c r="C634" s="460"/>
      <c r="D634" s="460"/>
      <c r="E634" s="460"/>
      <c r="F634" s="460"/>
      <c r="G634" s="461"/>
      <c r="H634" s="461"/>
      <c r="I634" s="461"/>
      <c r="J634" s="461"/>
      <c r="K634" s="461"/>
      <c r="L634" s="461"/>
      <c r="M634" s="461"/>
    </row>
    <row r="635" spans="1:13" x14ac:dyDescent="0.25">
      <c r="A635" s="462"/>
      <c r="B635" s="460"/>
      <c r="C635" s="460"/>
      <c r="D635" s="460"/>
      <c r="E635" s="460"/>
      <c r="F635" s="460"/>
      <c r="G635" s="461"/>
      <c r="H635" s="461"/>
      <c r="I635" s="461"/>
      <c r="J635" s="461"/>
      <c r="K635" s="461"/>
      <c r="L635" s="461"/>
      <c r="M635" s="461"/>
    </row>
    <row r="636" spans="1:13" x14ac:dyDescent="0.25">
      <c r="A636" s="462"/>
      <c r="B636" s="460"/>
      <c r="C636" s="460"/>
      <c r="D636" s="460"/>
      <c r="E636" s="460"/>
      <c r="F636" s="460"/>
      <c r="G636" s="461"/>
      <c r="H636" s="461"/>
      <c r="I636" s="461"/>
      <c r="J636" s="461"/>
      <c r="K636" s="461"/>
      <c r="L636" s="461"/>
      <c r="M636" s="461"/>
    </row>
    <row r="637" spans="1:13" x14ac:dyDescent="0.25">
      <c r="A637" s="462"/>
      <c r="B637" s="460"/>
      <c r="C637" s="460"/>
      <c r="D637" s="460"/>
      <c r="E637" s="460"/>
      <c r="F637" s="460"/>
      <c r="G637" s="461"/>
      <c r="H637" s="461"/>
      <c r="I637" s="461"/>
      <c r="J637" s="461"/>
      <c r="K637" s="461"/>
      <c r="L637" s="461"/>
      <c r="M637" s="461"/>
    </row>
    <row r="638" spans="1:13" x14ac:dyDescent="0.25">
      <c r="A638" s="462"/>
      <c r="B638" s="460"/>
      <c r="C638" s="460"/>
      <c r="D638" s="460"/>
      <c r="E638" s="460"/>
      <c r="F638" s="460"/>
      <c r="G638" s="461"/>
      <c r="H638" s="461"/>
      <c r="I638" s="461"/>
      <c r="J638" s="461"/>
      <c r="K638" s="461"/>
      <c r="L638" s="461"/>
      <c r="M638" s="461"/>
    </row>
    <row r="639" spans="1:13" x14ac:dyDescent="0.25">
      <c r="A639" s="462"/>
      <c r="B639" s="460"/>
      <c r="C639" s="460"/>
      <c r="D639" s="460"/>
      <c r="E639" s="460"/>
      <c r="F639" s="460"/>
      <c r="G639" s="461"/>
      <c r="H639" s="461"/>
      <c r="I639" s="461"/>
      <c r="J639" s="461"/>
      <c r="K639" s="461"/>
      <c r="L639" s="461"/>
      <c r="M639" s="461"/>
    </row>
    <row r="640" spans="1:13" x14ac:dyDescent="0.25">
      <c r="A640" s="462"/>
      <c r="B640" s="460"/>
      <c r="C640" s="460"/>
      <c r="D640" s="460"/>
      <c r="E640" s="460"/>
      <c r="F640" s="460"/>
      <c r="G640" s="461"/>
      <c r="H640" s="461"/>
      <c r="I640" s="461"/>
      <c r="J640" s="461"/>
      <c r="K640" s="461"/>
      <c r="L640" s="461"/>
      <c r="M640" s="461"/>
    </row>
    <row r="641" spans="1:13" x14ac:dyDescent="0.25">
      <c r="A641" s="462"/>
      <c r="B641" s="460"/>
      <c r="C641" s="460"/>
      <c r="D641" s="460"/>
      <c r="E641" s="460"/>
      <c r="F641" s="460"/>
      <c r="G641" s="461"/>
      <c r="H641" s="461"/>
      <c r="I641" s="461"/>
      <c r="J641" s="461"/>
      <c r="K641" s="461"/>
      <c r="L641" s="461"/>
      <c r="M641" s="461"/>
    </row>
    <row r="642" spans="1:13" x14ac:dyDescent="0.25">
      <c r="A642" s="462"/>
      <c r="B642" s="460"/>
      <c r="C642" s="460"/>
      <c r="D642" s="460"/>
      <c r="E642" s="460"/>
      <c r="F642" s="460"/>
      <c r="G642" s="461"/>
      <c r="H642" s="461"/>
      <c r="I642" s="461"/>
      <c r="J642" s="461"/>
      <c r="K642" s="461"/>
      <c r="L642" s="461"/>
      <c r="M642" s="461"/>
    </row>
    <row r="643" spans="1:13" x14ac:dyDescent="0.25">
      <c r="A643" s="462"/>
      <c r="B643" s="460"/>
      <c r="C643" s="460"/>
      <c r="D643" s="460"/>
      <c r="E643" s="460"/>
      <c r="F643" s="460"/>
      <c r="G643" s="461"/>
      <c r="H643" s="461"/>
      <c r="I643" s="461"/>
      <c r="J643" s="461"/>
      <c r="K643" s="461"/>
      <c r="L643" s="461"/>
      <c r="M643" s="461"/>
    </row>
    <row r="644" spans="1:13" x14ac:dyDescent="0.25">
      <c r="A644" s="462"/>
      <c r="B644" s="460"/>
      <c r="C644" s="460"/>
      <c r="D644" s="460"/>
      <c r="E644" s="460"/>
      <c r="F644" s="460"/>
      <c r="G644" s="461"/>
      <c r="H644" s="461"/>
      <c r="I644" s="461"/>
      <c r="J644" s="461"/>
      <c r="K644" s="461"/>
      <c r="L644" s="461"/>
      <c r="M644" s="461"/>
    </row>
    <row r="645" spans="1:13" x14ac:dyDescent="0.25">
      <c r="A645" s="462"/>
      <c r="B645" s="460"/>
      <c r="C645" s="460"/>
      <c r="D645" s="460"/>
      <c r="E645" s="460"/>
      <c r="F645" s="460"/>
      <c r="G645" s="461"/>
      <c r="H645" s="461"/>
      <c r="I645" s="461"/>
      <c r="J645" s="461"/>
      <c r="K645" s="461"/>
      <c r="L645" s="461"/>
      <c r="M645" s="461"/>
    </row>
    <row r="646" spans="1:13" x14ac:dyDescent="0.25">
      <c r="A646" s="462"/>
      <c r="B646" s="460"/>
      <c r="C646" s="460"/>
      <c r="D646" s="460"/>
      <c r="E646" s="460"/>
      <c r="F646" s="460"/>
      <c r="G646" s="461"/>
      <c r="H646" s="461"/>
      <c r="I646" s="461"/>
      <c r="J646" s="461"/>
      <c r="K646" s="461"/>
      <c r="L646" s="461"/>
      <c r="M646" s="461"/>
    </row>
    <row r="647" spans="1:13" x14ac:dyDescent="0.25">
      <c r="A647" s="462"/>
      <c r="B647" s="460"/>
      <c r="C647" s="460"/>
      <c r="D647" s="460"/>
      <c r="E647" s="460"/>
      <c r="F647" s="460"/>
      <c r="G647" s="461"/>
      <c r="H647" s="461"/>
      <c r="I647" s="461"/>
      <c r="J647" s="461"/>
      <c r="K647" s="461"/>
      <c r="L647" s="461"/>
      <c r="M647" s="461"/>
    </row>
    <row r="648" spans="1:13" x14ac:dyDescent="0.25">
      <c r="A648" s="462"/>
      <c r="B648" s="460"/>
      <c r="C648" s="460"/>
      <c r="D648" s="460"/>
      <c r="E648" s="460"/>
      <c r="F648" s="460"/>
      <c r="G648" s="461"/>
      <c r="H648" s="461"/>
      <c r="I648" s="461"/>
      <c r="J648" s="461"/>
      <c r="K648" s="461"/>
      <c r="L648" s="461"/>
      <c r="M648" s="461"/>
    </row>
    <row r="649" spans="1:13" x14ac:dyDescent="0.25">
      <c r="A649" s="462"/>
      <c r="B649" s="460"/>
      <c r="C649" s="460"/>
      <c r="D649" s="460"/>
      <c r="E649" s="460"/>
      <c r="F649" s="460"/>
      <c r="G649" s="461"/>
      <c r="H649" s="461"/>
      <c r="I649" s="461"/>
      <c r="J649" s="461"/>
      <c r="K649" s="461"/>
      <c r="L649" s="461"/>
      <c r="M649" s="461"/>
    </row>
    <row r="650" spans="1:13" x14ac:dyDescent="0.25">
      <c r="A650" s="462"/>
      <c r="B650" s="460"/>
      <c r="C650" s="460"/>
      <c r="D650" s="460"/>
      <c r="E650" s="460"/>
      <c r="F650" s="460"/>
      <c r="G650" s="461"/>
      <c r="H650" s="461"/>
      <c r="I650" s="461"/>
      <c r="J650" s="461"/>
      <c r="K650" s="461"/>
      <c r="L650" s="461"/>
      <c r="M650" s="461"/>
    </row>
    <row r="651" spans="1:13" x14ac:dyDescent="0.25">
      <c r="A651" s="462"/>
      <c r="B651" s="460"/>
      <c r="C651" s="460"/>
      <c r="D651" s="460"/>
      <c r="E651" s="460"/>
      <c r="F651" s="460"/>
      <c r="G651" s="461"/>
      <c r="H651" s="461"/>
      <c r="I651" s="461"/>
      <c r="J651" s="461"/>
      <c r="K651" s="461"/>
      <c r="L651" s="461"/>
      <c r="M651" s="461"/>
    </row>
    <row r="652" spans="1:13" x14ac:dyDescent="0.25">
      <c r="A652" s="462"/>
      <c r="B652" s="460"/>
      <c r="C652" s="460"/>
      <c r="D652" s="460"/>
      <c r="E652" s="460"/>
      <c r="F652" s="460"/>
      <c r="G652" s="461"/>
      <c r="H652" s="461"/>
      <c r="I652" s="461"/>
      <c r="J652" s="461"/>
      <c r="K652" s="461"/>
      <c r="L652" s="461"/>
      <c r="M652" s="461"/>
    </row>
    <row r="653" spans="1:13" x14ac:dyDescent="0.25">
      <c r="A653" s="462"/>
      <c r="B653" s="460"/>
      <c r="C653" s="460"/>
      <c r="D653" s="460"/>
      <c r="E653" s="460"/>
      <c r="F653" s="460"/>
      <c r="G653" s="461"/>
      <c r="H653" s="461"/>
      <c r="I653" s="461"/>
      <c r="J653" s="461"/>
      <c r="K653" s="461"/>
      <c r="L653" s="461"/>
      <c r="M653" s="461"/>
    </row>
    <row r="654" spans="1:13" x14ac:dyDescent="0.25">
      <c r="A654" s="462"/>
      <c r="B654" s="460"/>
      <c r="C654" s="460"/>
      <c r="D654" s="460"/>
      <c r="E654" s="460"/>
      <c r="F654" s="460"/>
      <c r="G654" s="461"/>
      <c r="H654" s="461"/>
      <c r="I654" s="461"/>
      <c r="J654" s="461"/>
      <c r="K654" s="461"/>
      <c r="L654" s="461"/>
      <c r="M654" s="461"/>
    </row>
    <row r="655" spans="1:13" x14ac:dyDescent="0.25">
      <c r="A655" s="462"/>
      <c r="B655" s="460"/>
      <c r="C655" s="460"/>
      <c r="D655" s="460"/>
      <c r="E655" s="460"/>
      <c r="F655" s="460"/>
      <c r="G655" s="461"/>
      <c r="H655" s="461"/>
      <c r="I655" s="461"/>
      <c r="J655" s="461"/>
      <c r="K655" s="461"/>
      <c r="L655" s="461"/>
      <c r="M655" s="461"/>
    </row>
    <row r="656" spans="1:13" x14ac:dyDescent="0.25">
      <c r="A656" s="462"/>
      <c r="B656" s="460"/>
      <c r="C656" s="460"/>
      <c r="D656" s="460"/>
      <c r="E656" s="460"/>
      <c r="F656" s="460"/>
      <c r="G656" s="461"/>
      <c r="H656" s="461"/>
      <c r="I656" s="461"/>
      <c r="J656" s="461"/>
      <c r="K656" s="461"/>
      <c r="L656" s="461"/>
      <c r="M656" s="461"/>
    </row>
    <row r="657" spans="1:13" x14ac:dyDescent="0.25">
      <c r="A657" s="462"/>
      <c r="B657" s="460"/>
      <c r="C657" s="460"/>
      <c r="D657" s="460"/>
      <c r="E657" s="460"/>
      <c r="F657" s="460"/>
      <c r="G657" s="461"/>
      <c r="H657" s="461"/>
      <c r="I657" s="461"/>
      <c r="J657" s="461"/>
      <c r="K657" s="461"/>
      <c r="L657" s="461"/>
      <c r="M657" s="461"/>
    </row>
    <row r="658" spans="1:13" x14ac:dyDescent="0.25">
      <c r="A658" s="462"/>
      <c r="B658" s="460"/>
      <c r="C658" s="460"/>
      <c r="D658" s="460"/>
      <c r="E658" s="460"/>
      <c r="F658" s="460"/>
      <c r="G658" s="461"/>
      <c r="H658" s="461"/>
      <c r="I658" s="461"/>
      <c r="J658" s="461"/>
      <c r="K658" s="461"/>
      <c r="L658" s="461"/>
      <c r="M658" s="461"/>
    </row>
    <row r="659" spans="1:13" x14ac:dyDescent="0.25">
      <c r="A659" s="462"/>
      <c r="B659" s="460"/>
      <c r="C659" s="460"/>
      <c r="D659" s="460"/>
      <c r="E659" s="460"/>
      <c r="F659" s="460"/>
      <c r="G659" s="461"/>
      <c r="H659" s="461"/>
      <c r="I659" s="461"/>
      <c r="J659" s="461"/>
      <c r="K659" s="461"/>
      <c r="L659" s="461"/>
      <c r="M659" s="461"/>
    </row>
    <row r="660" spans="1:13" x14ac:dyDescent="0.25">
      <c r="A660" s="462"/>
      <c r="B660" s="460"/>
      <c r="C660" s="460"/>
      <c r="D660" s="460"/>
      <c r="E660" s="460"/>
      <c r="F660" s="460"/>
      <c r="G660" s="461"/>
      <c r="H660" s="461"/>
      <c r="I660" s="461"/>
      <c r="J660" s="461"/>
      <c r="K660" s="461"/>
      <c r="L660" s="461"/>
      <c r="M660" s="461"/>
    </row>
    <row r="661" spans="1:13" x14ac:dyDescent="0.25">
      <c r="A661" s="462"/>
      <c r="B661" s="460"/>
      <c r="C661" s="460"/>
      <c r="D661" s="460"/>
      <c r="E661" s="460"/>
      <c r="F661" s="460"/>
      <c r="G661" s="461"/>
      <c r="H661" s="461"/>
      <c r="I661" s="461"/>
      <c r="J661" s="461"/>
      <c r="K661" s="461"/>
      <c r="L661" s="461"/>
      <c r="M661" s="461"/>
    </row>
    <row r="662" spans="1:13" x14ac:dyDescent="0.25">
      <c r="A662" s="462"/>
      <c r="B662" s="460"/>
      <c r="C662" s="460"/>
      <c r="D662" s="460"/>
      <c r="E662" s="460"/>
      <c r="F662" s="460"/>
      <c r="G662" s="461"/>
      <c r="H662" s="461"/>
      <c r="I662" s="461"/>
      <c r="J662" s="461"/>
      <c r="K662" s="461"/>
      <c r="L662" s="461"/>
      <c r="M662" s="461"/>
    </row>
    <row r="663" spans="1:13" x14ac:dyDescent="0.25">
      <c r="A663" s="462"/>
      <c r="B663" s="460"/>
      <c r="C663" s="460"/>
      <c r="D663" s="460"/>
      <c r="E663" s="460"/>
      <c r="F663" s="460"/>
      <c r="G663" s="461"/>
      <c r="H663" s="461"/>
      <c r="I663" s="461"/>
      <c r="J663" s="461"/>
      <c r="K663" s="461"/>
      <c r="L663" s="461"/>
      <c r="M663" s="461"/>
    </row>
    <row r="664" spans="1:13" x14ac:dyDescent="0.25">
      <c r="A664" s="462"/>
      <c r="B664" s="460"/>
      <c r="C664" s="460"/>
      <c r="D664" s="460"/>
      <c r="E664" s="460"/>
      <c r="F664" s="460"/>
      <c r="G664" s="461"/>
      <c r="H664" s="461"/>
      <c r="I664" s="461"/>
      <c r="J664" s="461"/>
      <c r="K664" s="461"/>
      <c r="L664" s="461"/>
      <c r="M664" s="461"/>
    </row>
    <row r="665" spans="1:13" x14ac:dyDescent="0.25">
      <c r="A665" s="462"/>
      <c r="B665" s="460"/>
      <c r="C665" s="460"/>
      <c r="D665" s="460"/>
      <c r="E665" s="460"/>
      <c r="F665" s="460"/>
      <c r="G665" s="461"/>
      <c r="H665" s="461"/>
      <c r="I665" s="461"/>
      <c r="J665" s="461"/>
      <c r="K665" s="461"/>
      <c r="L665" s="461"/>
      <c r="M665" s="461"/>
    </row>
    <row r="666" spans="1:13" x14ac:dyDescent="0.25">
      <c r="A666" s="462"/>
      <c r="B666" s="460"/>
      <c r="C666" s="460"/>
      <c r="D666" s="460"/>
      <c r="E666" s="460"/>
      <c r="F666" s="460"/>
      <c r="G666" s="461"/>
      <c r="H666" s="461"/>
      <c r="I666" s="461"/>
      <c r="J666" s="461"/>
      <c r="K666" s="461"/>
      <c r="L666" s="461"/>
      <c r="M666" s="461"/>
    </row>
    <row r="667" spans="1:13" x14ac:dyDescent="0.25">
      <c r="A667" s="462"/>
      <c r="B667" s="460"/>
      <c r="C667" s="460"/>
      <c r="D667" s="460"/>
      <c r="E667" s="460"/>
      <c r="F667" s="460"/>
      <c r="G667" s="461"/>
      <c r="H667" s="461"/>
      <c r="I667" s="461"/>
      <c r="J667" s="461"/>
      <c r="K667" s="461"/>
      <c r="L667" s="461"/>
      <c r="M667" s="461"/>
    </row>
    <row r="668" spans="1:13" x14ac:dyDescent="0.25">
      <c r="A668" s="462"/>
      <c r="B668" s="460"/>
      <c r="C668" s="460"/>
      <c r="D668" s="460"/>
      <c r="E668" s="460"/>
      <c r="F668" s="460"/>
      <c r="G668" s="461"/>
      <c r="H668" s="461"/>
      <c r="I668" s="461"/>
      <c r="J668" s="461"/>
      <c r="K668" s="461"/>
      <c r="L668" s="461"/>
      <c r="M668" s="461"/>
    </row>
    <row r="669" spans="1:13" x14ac:dyDescent="0.25">
      <c r="A669" s="462"/>
      <c r="B669" s="460"/>
      <c r="C669" s="460"/>
      <c r="D669" s="460"/>
      <c r="E669" s="460"/>
      <c r="F669" s="460"/>
      <c r="G669" s="461"/>
      <c r="H669" s="461"/>
      <c r="I669" s="461"/>
      <c r="J669" s="461"/>
      <c r="K669" s="461"/>
      <c r="L669" s="461"/>
      <c r="M669" s="461"/>
    </row>
    <row r="670" spans="1:13" x14ac:dyDescent="0.25">
      <c r="A670" s="462"/>
      <c r="B670" s="460"/>
      <c r="C670" s="460"/>
      <c r="D670" s="460"/>
      <c r="E670" s="460"/>
      <c r="F670" s="460"/>
      <c r="G670" s="461"/>
      <c r="H670" s="461"/>
      <c r="I670" s="461"/>
      <c r="J670" s="461"/>
      <c r="K670" s="461"/>
      <c r="L670" s="461"/>
      <c r="M670" s="461"/>
    </row>
    <row r="671" spans="1:13" x14ac:dyDescent="0.25">
      <c r="A671" s="462"/>
      <c r="B671" s="460"/>
      <c r="C671" s="460"/>
      <c r="D671" s="460"/>
      <c r="E671" s="460"/>
      <c r="F671" s="460"/>
      <c r="G671" s="461"/>
      <c r="H671" s="461"/>
      <c r="I671" s="461"/>
      <c r="J671" s="461"/>
      <c r="K671" s="461"/>
      <c r="L671" s="461"/>
      <c r="M671" s="461"/>
    </row>
    <row r="672" spans="1:13" x14ac:dyDescent="0.25">
      <c r="A672" s="462"/>
      <c r="B672" s="460"/>
      <c r="C672" s="460"/>
      <c r="D672" s="460"/>
      <c r="E672" s="460"/>
      <c r="F672" s="460"/>
      <c r="G672" s="461"/>
      <c r="H672" s="461"/>
      <c r="I672" s="461"/>
      <c r="J672" s="461"/>
      <c r="K672" s="461"/>
      <c r="L672" s="461"/>
      <c r="M672" s="461"/>
    </row>
    <row r="673" spans="1:13" x14ac:dyDescent="0.25">
      <c r="A673" s="462"/>
      <c r="B673" s="460"/>
      <c r="C673" s="460"/>
      <c r="D673" s="460"/>
      <c r="E673" s="460"/>
      <c r="F673" s="460"/>
      <c r="G673" s="461"/>
      <c r="H673" s="461"/>
      <c r="I673" s="461"/>
      <c r="J673" s="461"/>
      <c r="K673" s="461"/>
      <c r="L673" s="461"/>
      <c r="M673" s="461"/>
    </row>
    <row r="674" spans="1:13" x14ac:dyDescent="0.25">
      <c r="A674" s="462"/>
      <c r="B674" s="460"/>
      <c r="C674" s="460"/>
      <c r="D674" s="460"/>
      <c r="E674" s="460"/>
      <c r="F674" s="460"/>
      <c r="G674" s="461"/>
      <c r="H674" s="461"/>
      <c r="I674" s="461"/>
      <c r="J674" s="461"/>
      <c r="K674" s="461"/>
      <c r="L674" s="461"/>
      <c r="M674" s="461"/>
    </row>
    <row r="675" spans="1:13" x14ac:dyDescent="0.25">
      <c r="A675" s="462"/>
      <c r="B675" s="460"/>
      <c r="C675" s="460"/>
      <c r="D675" s="460"/>
      <c r="E675" s="460"/>
      <c r="F675" s="460"/>
      <c r="G675" s="461"/>
      <c r="H675" s="461"/>
      <c r="I675" s="461"/>
      <c r="J675" s="461"/>
      <c r="K675" s="461"/>
      <c r="L675" s="461"/>
      <c r="M675" s="461"/>
    </row>
    <row r="676" spans="1:13" x14ac:dyDescent="0.25">
      <c r="A676" s="462"/>
      <c r="B676" s="460"/>
      <c r="C676" s="460"/>
      <c r="D676" s="460"/>
      <c r="E676" s="460"/>
      <c r="F676" s="460"/>
      <c r="G676" s="461"/>
      <c r="H676" s="461"/>
      <c r="I676" s="461"/>
      <c r="J676" s="461"/>
      <c r="K676" s="461"/>
      <c r="L676" s="461"/>
      <c r="M676" s="461"/>
    </row>
    <row r="677" spans="1:13" x14ac:dyDescent="0.25">
      <c r="A677" s="462"/>
      <c r="B677" s="460"/>
      <c r="C677" s="460"/>
      <c r="D677" s="460"/>
      <c r="E677" s="460"/>
      <c r="F677" s="460"/>
      <c r="G677" s="461"/>
      <c r="H677" s="461"/>
      <c r="I677" s="461"/>
      <c r="J677" s="461"/>
      <c r="K677" s="461"/>
      <c r="L677" s="461"/>
      <c r="M677" s="461"/>
    </row>
    <row r="678" spans="1:13" x14ac:dyDescent="0.25">
      <c r="A678" s="462"/>
      <c r="B678" s="460"/>
      <c r="C678" s="460"/>
      <c r="D678" s="460"/>
      <c r="E678" s="460"/>
      <c r="F678" s="460"/>
      <c r="G678" s="461"/>
      <c r="H678" s="461"/>
      <c r="I678" s="461"/>
      <c r="J678" s="461"/>
      <c r="K678" s="461"/>
      <c r="L678" s="461"/>
      <c r="M678" s="461"/>
    </row>
    <row r="679" spans="1:13" x14ac:dyDescent="0.25">
      <c r="A679" s="462"/>
      <c r="B679" s="460"/>
      <c r="C679" s="460"/>
      <c r="D679" s="460"/>
      <c r="E679" s="460"/>
      <c r="F679" s="460"/>
      <c r="G679" s="461"/>
      <c r="H679" s="461"/>
      <c r="I679" s="461"/>
      <c r="J679" s="461"/>
      <c r="K679" s="461"/>
      <c r="L679" s="461"/>
      <c r="M679" s="461"/>
    </row>
    <row r="680" spans="1:13" x14ac:dyDescent="0.25">
      <c r="A680" s="462"/>
      <c r="B680" s="460"/>
      <c r="C680" s="460"/>
      <c r="D680" s="460"/>
      <c r="E680" s="460"/>
      <c r="F680" s="460"/>
      <c r="G680" s="461"/>
      <c r="H680" s="461"/>
      <c r="I680" s="461"/>
      <c r="J680" s="461"/>
      <c r="K680" s="461"/>
      <c r="L680" s="461"/>
      <c r="M680" s="461"/>
    </row>
    <row r="681" spans="1:13" x14ac:dyDescent="0.25">
      <c r="A681" s="462"/>
      <c r="B681" s="460"/>
      <c r="C681" s="460"/>
      <c r="D681" s="460"/>
      <c r="E681" s="460"/>
      <c r="F681" s="460"/>
      <c r="G681" s="461"/>
      <c r="H681" s="461"/>
      <c r="I681" s="461"/>
      <c r="J681" s="461"/>
      <c r="K681" s="461"/>
      <c r="L681" s="461"/>
      <c r="M681" s="461"/>
    </row>
    <row r="682" spans="1:13" x14ac:dyDescent="0.25">
      <c r="A682" s="462"/>
      <c r="B682" s="460"/>
      <c r="C682" s="460"/>
      <c r="D682" s="460"/>
      <c r="E682" s="460"/>
      <c r="F682" s="460"/>
      <c r="G682" s="461"/>
      <c r="H682" s="461"/>
      <c r="I682" s="461"/>
      <c r="J682" s="461"/>
      <c r="K682" s="461"/>
      <c r="L682" s="461"/>
      <c r="M682" s="461"/>
    </row>
    <row r="683" spans="1:13" x14ac:dyDescent="0.25">
      <c r="A683" s="462"/>
      <c r="B683" s="460"/>
      <c r="C683" s="460"/>
      <c r="D683" s="460"/>
      <c r="E683" s="460"/>
      <c r="F683" s="460"/>
      <c r="G683" s="461"/>
      <c r="H683" s="461"/>
      <c r="I683" s="461"/>
      <c r="J683" s="461"/>
      <c r="K683" s="461"/>
      <c r="L683" s="461"/>
      <c r="M683" s="461"/>
    </row>
    <row r="684" spans="1:13" x14ac:dyDescent="0.25">
      <c r="A684" s="462"/>
      <c r="B684" s="460"/>
      <c r="C684" s="460"/>
      <c r="D684" s="460"/>
      <c r="E684" s="460"/>
      <c r="F684" s="460"/>
      <c r="G684" s="461"/>
      <c r="H684" s="461"/>
      <c r="I684" s="461"/>
      <c r="J684" s="461"/>
      <c r="K684" s="461"/>
      <c r="L684" s="461"/>
      <c r="M684" s="461"/>
    </row>
    <row r="685" spans="1:13" x14ac:dyDescent="0.25">
      <c r="A685" s="462"/>
      <c r="B685" s="460"/>
      <c r="C685" s="460"/>
      <c r="D685" s="460"/>
      <c r="E685" s="460"/>
      <c r="F685" s="460"/>
      <c r="G685" s="461"/>
      <c r="H685" s="461"/>
      <c r="I685" s="461"/>
      <c r="J685" s="461"/>
      <c r="K685" s="461"/>
      <c r="L685" s="461"/>
      <c r="M685" s="461"/>
    </row>
    <row r="686" spans="1:13" x14ac:dyDescent="0.25">
      <c r="A686" s="462"/>
      <c r="B686" s="460"/>
      <c r="C686" s="460"/>
      <c r="D686" s="460"/>
      <c r="E686" s="460"/>
      <c r="F686" s="460"/>
      <c r="G686" s="461"/>
      <c r="H686" s="461"/>
      <c r="I686" s="461"/>
      <c r="J686" s="461"/>
      <c r="K686" s="461"/>
      <c r="L686" s="461"/>
      <c r="M686" s="461"/>
    </row>
    <row r="687" spans="1:13" x14ac:dyDescent="0.25">
      <c r="A687" s="462"/>
      <c r="B687" s="460"/>
      <c r="C687" s="460"/>
      <c r="D687" s="460"/>
      <c r="E687" s="460"/>
      <c r="F687" s="460"/>
      <c r="G687" s="461"/>
      <c r="H687" s="461"/>
      <c r="I687" s="461"/>
      <c r="J687" s="461"/>
      <c r="K687" s="461"/>
      <c r="L687" s="461"/>
      <c r="M687" s="461"/>
    </row>
    <row r="688" spans="1:13" x14ac:dyDescent="0.25">
      <c r="A688" s="462"/>
      <c r="B688" s="460"/>
      <c r="C688" s="460"/>
      <c r="D688" s="460"/>
      <c r="E688" s="460"/>
      <c r="F688" s="460"/>
      <c r="G688" s="461"/>
      <c r="H688" s="461"/>
      <c r="I688" s="461"/>
      <c r="J688" s="461"/>
      <c r="K688" s="461"/>
      <c r="L688" s="461"/>
      <c r="M688" s="461"/>
    </row>
    <row r="689" spans="1:13" x14ac:dyDescent="0.25">
      <c r="A689" s="462"/>
      <c r="B689" s="460"/>
      <c r="C689" s="460"/>
      <c r="D689" s="460"/>
      <c r="E689" s="460"/>
      <c r="F689" s="460"/>
      <c r="G689" s="461"/>
      <c r="H689" s="461"/>
      <c r="I689" s="461"/>
      <c r="J689" s="461"/>
      <c r="K689" s="461"/>
      <c r="L689" s="461"/>
      <c r="M689" s="461"/>
    </row>
    <row r="690" spans="1:13" x14ac:dyDescent="0.25">
      <c r="A690" s="462"/>
      <c r="B690" s="460"/>
      <c r="C690" s="460"/>
      <c r="D690" s="460"/>
      <c r="E690" s="460"/>
      <c r="F690" s="460"/>
      <c r="G690" s="461"/>
      <c r="H690" s="461"/>
      <c r="I690" s="461"/>
      <c r="J690" s="461"/>
      <c r="K690" s="461"/>
      <c r="L690" s="461"/>
      <c r="M690" s="461"/>
    </row>
    <row r="691" spans="1:13" x14ac:dyDescent="0.25">
      <c r="A691" s="462"/>
      <c r="B691" s="460"/>
      <c r="C691" s="460"/>
      <c r="D691" s="460"/>
      <c r="E691" s="460"/>
      <c r="F691" s="460"/>
      <c r="G691" s="461"/>
      <c r="H691" s="461"/>
      <c r="I691" s="461"/>
      <c r="J691" s="461"/>
      <c r="K691" s="461"/>
      <c r="L691" s="461"/>
      <c r="M691" s="461"/>
    </row>
    <row r="692" spans="1:13" x14ac:dyDescent="0.25">
      <c r="A692" s="462"/>
      <c r="B692" s="460"/>
      <c r="C692" s="460"/>
      <c r="D692" s="460"/>
      <c r="E692" s="460"/>
      <c r="F692" s="460"/>
      <c r="G692" s="461"/>
      <c r="H692" s="461"/>
      <c r="I692" s="461"/>
      <c r="J692" s="461"/>
      <c r="K692" s="461"/>
      <c r="L692" s="461"/>
      <c r="M692" s="461"/>
    </row>
    <row r="693" spans="1:13" x14ac:dyDescent="0.25">
      <c r="A693" s="462"/>
      <c r="B693" s="460"/>
      <c r="C693" s="460"/>
      <c r="D693" s="460"/>
      <c r="E693" s="460"/>
      <c r="F693" s="460"/>
      <c r="G693" s="461"/>
      <c r="H693" s="461"/>
      <c r="I693" s="461"/>
      <c r="J693" s="461"/>
      <c r="K693" s="461"/>
      <c r="L693" s="461"/>
      <c r="M693" s="461"/>
    </row>
    <row r="694" spans="1:13" x14ac:dyDescent="0.25">
      <c r="A694" s="462"/>
      <c r="B694" s="460"/>
      <c r="C694" s="460"/>
      <c r="D694" s="460"/>
      <c r="E694" s="460"/>
      <c r="F694" s="460"/>
      <c r="G694" s="461"/>
      <c r="H694" s="461"/>
      <c r="I694" s="461"/>
      <c r="J694" s="461"/>
      <c r="K694" s="461"/>
      <c r="L694" s="461"/>
      <c r="M694" s="461"/>
    </row>
    <row r="695" spans="1:13" x14ac:dyDescent="0.25">
      <c r="A695" s="462"/>
      <c r="B695" s="460"/>
      <c r="C695" s="460"/>
      <c r="D695" s="460"/>
      <c r="E695" s="460"/>
      <c r="F695" s="460"/>
      <c r="G695" s="461"/>
      <c r="H695" s="461"/>
      <c r="I695" s="461"/>
      <c r="J695" s="461"/>
      <c r="K695" s="461"/>
      <c r="L695" s="461"/>
      <c r="M695" s="461"/>
    </row>
    <row r="696" spans="1:13" x14ac:dyDescent="0.25">
      <c r="A696" s="462"/>
      <c r="B696" s="460"/>
      <c r="C696" s="460"/>
      <c r="D696" s="460"/>
      <c r="E696" s="460"/>
      <c r="F696" s="460"/>
      <c r="G696" s="461"/>
      <c r="H696" s="461"/>
      <c r="I696" s="461"/>
      <c r="J696" s="461"/>
      <c r="K696" s="461"/>
      <c r="L696" s="461"/>
      <c r="M696" s="461"/>
    </row>
    <row r="697" spans="1:13" x14ac:dyDescent="0.25">
      <c r="A697" s="462"/>
      <c r="B697" s="460"/>
      <c r="C697" s="460"/>
      <c r="D697" s="460"/>
      <c r="E697" s="460"/>
      <c r="F697" s="460"/>
      <c r="G697" s="461"/>
      <c r="H697" s="461"/>
      <c r="I697" s="461"/>
      <c r="J697" s="461"/>
      <c r="K697" s="461"/>
      <c r="L697" s="461"/>
      <c r="M697" s="461"/>
    </row>
    <row r="698" spans="1:13" x14ac:dyDescent="0.25">
      <c r="A698" s="462"/>
      <c r="B698" s="460"/>
      <c r="C698" s="460"/>
      <c r="D698" s="460"/>
      <c r="E698" s="460"/>
      <c r="F698" s="460"/>
      <c r="G698" s="461"/>
      <c r="H698" s="461"/>
      <c r="I698" s="461"/>
      <c r="J698" s="461"/>
      <c r="K698" s="461"/>
      <c r="L698" s="461"/>
      <c r="M698" s="461"/>
    </row>
    <row r="699" spans="1:13" x14ac:dyDescent="0.25">
      <c r="A699" s="462"/>
      <c r="B699" s="460"/>
      <c r="C699" s="460"/>
      <c r="D699" s="460"/>
      <c r="E699" s="460"/>
      <c r="F699" s="460"/>
      <c r="G699" s="461"/>
      <c r="H699" s="461"/>
      <c r="I699" s="461"/>
      <c r="J699" s="461"/>
      <c r="K699" s="461"/>
      <c r="L699" s="461"/>
      <c r="M699" s="461"/>
    </row>
    <row r="700" spans="1:13" x14ac:dyDescent="0.25">
      <c r="A700" s="462"/>
      <c r="B700" s="460"/>
      <c r="C700" s="460"/>
      <c r="D700" s="460"/>
      <c r="E700" s="460"/>
      <c r="F700" s="460"/>
      <c r="G700" s="461"/>
      <c r="H700" s="461"/>
      <c r="I700" s="461"/>
      <c r="J700" s="461"/>
      <c r="K700" s="461"/>
      <c r="L700" s="461"/>
      <c r="M700" s="461"/>
    </row>
    <row r="701" spans="1:13" x14ac:dyDescent="0.25">
      <c r="A701" s="462"/>
      <c r="B701" s="460"/>
      <c r="C701" s="460"/>
      <c r="D701" s="460"/>
      <c r="E701" s="460"/>
      <c r="F701" s="460"/>
      <c r="G701" s="461"/>
      <c r="H701" s="461"/>
      <c r="I701" s="461"/>
      <c r="J701" s="461"/>
      <c r="K701" s="461"/>
      <c r="L701" s="461"/>
      <c r="M701" s="461"/>
    </row>
    <row r="702" spans="1:13" x14ac:dyDescent="0.25">
      <c r="A702" s="462"/>
      <c r="B702" s="460"/>
      <c r="C702" s="460"/>
      <c r="D702" s="460"/>
      <c r="E702" s="460"/>
      <c r="F702" s="460"/>
      <c r="G702" s="461"/>
      <c r="H702" s="461"/>
      <c r="I702" s="461"/>
      <c r="J702" s="461"/>
      <c r="K702" s="461"/>
      <c r="L702" s="461"/>
      <c r="M702" s="461"/>
    </row>
    <row r="703" spans="1:13" x14ac:dyDescent="0.25">
      <c r="A703" s="462"/>
      <c r="B703" s="460"/>
      <c r="C703" s="460"/>
      <c r="D703" s="460"/>
      <c r="E703" s="460"/>
      <c r="F703" s="460"/>
      <c r="G703" s="461"/>
      <c r="H703" s="461"/>
      <c r="I703" s="461"/>
      <c r="J703" s="461"/>
      <c r="K703" s="461"/>
      <c r="L703" s="461"/>
      <c r="M703" s="461"/>
    </row>
    <row r="704" spans="1:13" x14ac:dyDescent="0.25">
      <c r="A704" s="462"/>
      <c r="B704" s="460"/>
      <c r="C704" s="460"/>
      <c r="D704" s="460"/>
      <c r="E704" s="460"/>
      <c r="F704" s="460"/>
      <c r="G704" s="461"/>
      <c r="H704" s="461"/>
      <c r="I704" s="461"/>
      <c r="J704" s="461"/>
      <c r="K704" s="461"/>
      <c r="L704" s="461"/>
      <c r="M704" s="461"/>
    </row>
    <row r="705" spans="1:13" x14ac:dyDescent="0.25">
      <c r="A705" s="462"/>
      <c r="B705" s="460"/>
      <c r="C705" s="460"/>
      <c r="D705" s="460"/>
      <c r="E705" s="460"/>
      <c r="F705" s="460"/>
      <c r="G705" s="461"/>
      <c r="H705" s="461"/>
      <c r="I705" s="461"/>
      <c r="J705" s="461"/>
      <c r="K705" s="461"/>
      <c r="L705" s="461"/>
      <c r="M705" s="461"/>
    </row>
    <row r="706" spans="1:13" x14ac:dyDescent="0.25">
      <c r="A706" s="462"/>
      <c r="B706" s="460"/>
      <c r="C706" s="460"/>
      <c r="D706" s="460"/>
      <c r="E706" s="460"/>
      <c r="F706" s="460"/>
      <c r="G706" s="461"/>
      <c r="H706" s="461"/>
      <c r="I706" s="461"/>
      <c r="J706" s="461"/>
      <c r="K706" s="461"/>
      <c r="L706" s="461"/>
      <c r="M706" s="461"/>
    </row>
    <row r="707" spans="1:13" x14ac:dyDescent="0.25">
      <c r="A707" s="462"/>
      <c r="B707" s="460"/>
      <c r="C707" s="460"/>
      <c r="D707" s="460"/>
      <c r="E707" s="460"/>
      <c r="F707" s="460"/>
      <c r="G707" s="461"/>
      <c r="H707" s="461"/>
      <c r="I707" s="461"/>
      <c r="J707" s="461"/>
      <c r="K707" s="461"/>
      <c r="L707" s="461"/>
      <c r="M707" s="461"/>
    </row>
    <row r="708" spans="1:13" x14ac:dyDescent="0.25">
      <c r="A708" s="462"/>
      <c r="B708" s="460"/>
      <c r="C708" s="460"/>
      <c r="D708" s="460"/>
      <c r="E708" s="460"/>
      <c r="F708" s="460"/>
      <c r="G708" s="461"/>
      <c r="H708" s="461"/>
      <c r="I708" s="461"/>
      <c r="J708" s="461"/>
      <c r="K708" s="461"/>
      <c r="L708" s="461"/>
      <c r="M708" s="461"/>
    </row>
    <row r="709" spans="1:13" x14ac:dyDescent="0.25">
      <c r="A709" s="462"/>
      <c r="B709" s="460"/>
      <c r="C709" s="460"/>
      <c r="D709" s="460"/>
      <c r="E709" s="460"/>
      <c r="F709" s="460"/>
      <c r="G709" s="461"/>
      <c r="H709" s="461"/>
      <c r="I709" s="461"/>
      <c r="J709" s="461"/>
      <c r="K709" s="461"/>
      <c r="L709" s="461"/>
      <c r="M709" s="461"/>
    </row>
    <row r="710" spans="1:13" x14ac:dyDescent="0.25">
      <c r="A710" s="462"/>
      <c r="B710" s="460"/>
      <c r="C710" s="460"/>
      <c r="D710" s="460"/>
      <c r="E710" s="460"/>
      <c r="F710" s="460"/>
      <c r="G710" s="461"/>
      <c r="H710" s="461"/>
      <c r="I710" s="461"/>
      <c r="J710" s="461"/>
      <c r="K710" s="461"/>
      <c r="L710" s="461"/>
      <c r="M710" s="461"/>
    </row>
    <row r="711" spans="1:13" x14ac:dyDescent="0.25">
      <c r="A711" s="462"/>
      <c r="B711" s="460"/>
      <c r="C711" s="460"/>
      <c r="D711" s="460"/>
      <c r="E711" s="460"/>
      <c r="F711" s="460"/>
      <c r="G711" s="461"/>
      <c r="H711" s="461"/>
      <c r="I711" s="461"/>
      <c r="J711" s="461"/>
      <c r="K711" s="461"/>
      <c r="L711" s="461"/>
      <c r="M711" s="461"/>
    </row>
    <row r="712" spans="1:13" x14ac:dyDescent="0.25">
      <c r="A712" s="462"/>
      <c r="B712" s="460"/>
      <c r="C712" s="460"/>
      <c r="D712" s="460"/>
      <c r="E712" s="460"/>
      <c r="F712" s="460"/>
      <c r="G712" s="461"/>
      <c r="H712" s="461"/>
      <c r="I712" s="461"/>
      <c r="J712" s="461"/>
      <c r="K712" s="461"/>
      <c r="L712" s="461"/>
      <c r="M712" s="461"/>
    </row>
    <row r="713" spans="1:13" x14ac:dyDescent="0.25">
      <c r="A713" s="462"/>
      <c r="B713" s="460"/>
      <c r="C713" s="460"/>
      <c r="D713" s="460"/>
      <c r="E713" s="460"/>
      <c r="F713" s="460"/>
      <c r="G713" s="461"/>
      <c r="H713" s="461"/>
      <c r="I713" s="461"/>
      <c r="J713" s="461"/>
      <c r="K713" s="461"/>
      <c r="L713" s="461"/>
      <c r="M713" s="461"/>
    </row>
    <row r="714" spans="1:13" x14ac:dyDescent="0.25">
      <c r="A714" s="462"/>
      <c r="B714" s="460"/>
      <c r="C714" s="460"/>
      <c r="D714" s="460"/>
      <c r="E714" s="460"/>
      <c r="F714" s="460"/>
      <c r="G714" s="461"/>
      <c r="H714" s="461"/>
      <c r="I714" s="461"/>
      <c r="J714" s="461"/>
      <c r="K714" s="461"/>
      <c r="L714" s="461"/>
      <c r="M714" s="461"/>
    </row>
    <row r="715" spans="1:13" x14ac:dyDescent="0.25">
      <c r="A715" s="462"/>
      <c r="B715" s="460"/>
      <c r="C715" s="460"/>
      <c r="D715" s="460"/>
      <c r="E715" s="460"/>
      <c r="F715" s="460"/>
      <c r="G715" s="461"/>
      <c r="H715" s="461"/>
      <c r="I715" s="461"/>
      <c r="J715" s="461"/>
      <c r="K715" s="461"/>
      <c r="L715" s="461"/>
      <c r="M715" s="461"/>
    </row>
    <row r="716" spans="1:13" x14ac:dyDescent="0.25">
      <c r="A716" s="462"/>
      <c r="B716" s="460"/>
      <c r="C716" s="460"/>
      <c r="D716" s="460"/>
      <c r="E716" s="460"/>
      <c r="F716" s="460"/>
      <c r="G716" s="461"/>
      <c r="H716" s="461"/>
      <c r="I716" s="461"/>
      <c r="J716" s="461"/>
      <c r="K716" s="461"/>
      <c r="L716" s="461"/>
      <c r="M716" s="461"/>
    </row>
    <row r="717" spans="1:13" x14ac:dyDescent="0.25">
      <c r="A717" s="462"/>
      <c r="B717" s="460"/>
      <c r="C717" s="460"/>
      <c r="D717" s="460"/>
      <c r="E717" s="460"/>
      <c r="F717" s="460"/>
      <c r="G717" s="461"/>
      <c r="H717" s="461"/>
      <c r="I717" s="461"/>
      <c r="J717" s="461"/>
      <c r="K717" s="461"/>
      <c r="L717" s="461"/>
      <c r="M717" s="461"/>
    </row>
    <row r="718" spans="1:13" x14ac:dyDescent="0.25">
      <c r="A718" s="462"/>
      <c r="B718" s="460"/>
      <c r="C718" s="460"/>
      <c r="D718" s="460"/>
      <c r="E718" s="460"/>
      <c r="F718" s="460"/>
      <c r="G718" s="461"/>
      <c r="H718" s="461"/>
      <c r="I718" s="461"/>
      <c r="J718" s="461"/>
      <c r="K718" s="461"/>
      <c r="L718" s="461"/>
      <c r="M718" s="461"/>
    </row>
    <row r="719" spans="1:13" x14ac:dyDescent="0.25">
      <c r="A719" s="462"/>
      <c r="B719" s="460"/>
      <c r="C719" s="460"/>
      <c r="D719" s="460"/>
      <c r="E719" s="460"/>
      <c r="F719" s="460"/>
      <c r="G719" s="461"/>
      <c r="H719" s="461"/>
      <c r="I719" s="461"/>
      <c r="J719" s="461"/>
      <c r="K719" s="461"/>
      <c r="L719" s="461"/>
      <c r="M719" s="461"/>
    </row>
    <row r="720" spans="1:13" x14ac:dyDescent="0.25">
      <c r="A720" s="462"/>
      <c r="B720" s="460"/>
      <c r="C720" s="460"/>
      <c r="D720" s="460"/>
      <c r="E720" s="460"/>
      <c r="F720" s="460"/>
      <c r="G720" s="461"/>
      <c r="H720" s="461"/>
      <c r="I720" s="461"/>
      <c r="J720" s="461"/>
      <c r="K720" s="461"/>
      <c r="L720" s="461"/>
      <c r="M720" s="461"/>
    </row>
    <row r="721" spans="1:13" x14ac:dyDescent="0.25">
      <c r="A721" s="462"/>
      <c r="B721" s="460"/>
      <c r="C721" s="460"/>
      <c r="D721" s="460"/>
      <c r="E721" s="460"/>
      <c r="F721" s="460"/>
      <c r="G721" s="461"/>
      <c r="H721" s="461"/>
      <c r="I721" s="461"/>
      <c r="J721" s="461"/>
      <c r="K721" s="461"/>
      <c r="L721" s="461"/>
      <c r="M721" s="461"/>
    </row>
    <row r="722" spans="1:13" x14ac:dyDescent="0.25">
      <c r="A722" s="462"/>
      <c r="B722" s="460"/>
      <c r="C722" s="460"/>
      <c r="D722" s="460"/>
      <c r="E722" s="460"/>
      <c r="F722" s="460"/>
      <c r="G722" s="461"/>
      <c r="H722" s="461"/>
      <c r="I722" s="461"/>
      <c r="J722" s="461"/>
      <c r="K722" s="461"/>
      <c r="L722" s="461"/>
      <c r="M722" s="461"/>
    </row>
    <row r="723" spans="1:13" x14ac:dyDescent="0.25">
      <c r="A723" s="462"/>
      <c r="B723" s="460"/>
      <c r="C723" s="460"/>
      <c r="D723" s="460"/>
      <c r="E723" s="460"/>
      <c r="F723" s="460"/>
      <c r="G723" s="461"/>
      <c r="H723" s="461"/>
      <c r="I723" s="461"/>
      <c r="J723" s="461"/>
      <c r="K723" s="461"/>
      <c r="L723" s="461"/>
      <c r="M723" s="461"/>
    </row>
    <row r="724" spans="1:13" x14ac:dyDescent="0.25">
      <c r="A724" s="462"/>
      <c r="B724" s="460"/>
      <c r="C724" s="460"/>
      <c r="D724" s="460"/>
      <c r="E724" s="460"/>
      <c r="F724" s="460"/>
      <c r="G724" s="461"/>
      <c r="H724" s="461"/>
      <c r="I724" s="461"/>
      <c r="J724" s="461"/>
      <c r="K724" s="461"/>
      <c r="L724" s="461"/>
      <c r="M724" s="461"/>
    </row>
    <row r="725" spans="1:13" x14ac:dyDescent="0.25">
      <c r="A725" s="462"/>
      <c r="B725" s="460"/>
      <c r="C725" s="460"/>
      <c r="D725" s="460"/>
      <c r="E725" s="460"/>
      <c r="F725" s="460"/>
      <c r="G725" s="461"/>
      <c r="H725" s="461"/>
      <c r="I725" s="461"/>
      <c r="J725" s="461"/>
      <c r="K725" s="461"/>
      <c r="L725" s="461"/>
      <c r="M725" s="461"/>
    </row>
    <row r="726" spans="1:13" x14ac:dyDescent="0.25">
      <c r="A726" s="462"/>
      <c r="B726" s="460"/>
      <c r="C726" s="460"/>
      <c r="D726" s="460"/>
      <c r="E726" s="460"/>
      <c r="F726" s="460"/>
      <c r="G726" s="461"/>
      <c r="H726" s="461"/>
      <c r="I726" s="461"/>
      <c r="J726" s="461"/>
      <c r="K726" s="461"/>
      <c r="L726" s="461"/>
      <c r="M726" s="461"/>
    </row>
    <row r="727" spans="1:13" x14ac:dyDescent="0.25">
      <c r="A727" s="462"/>
      <c r="B727" s="460"/>
      <c r="C727" s="460"/>
      <c r="D727" s="460"/>
      <c r="E727" s="460"/>
      <c r="F727" s="460"/>
      <c r="G727" s="461"/>
      <c r="H727" s="461"/>
      <c r="I727" s="461"/>
      <c r="J727" s="461"/>
      <c r="K727" s="461"/>
      <c r="L727" s="461"/>
      <c r="M727" s="461"/>
    </row>
    <row r="728" spans="1:13" x14ac:dyDescent="0.25">
      <c r="A728" s="462"/>
      <c r="B728" s="460"/>
      <c r="C728" s="460"/>
      <c r="D728" s="460"/>
      <c r="E728" s="460"/>
      <c r="F728" s="460"/>
      <c r="G728" s="461"/>
      <c r="H728" s="461"/>
      <c r="I728" s="461"/>
      <c r="J728" s="461"/>
      <c r="K728" s="461"/>
      <c r="L728" s="461"/>
      <c r="M728" s="461"/>
    </row>
    <row r="729" spans="1:13" x14ac:dyDescent="0.25">
      <c r="A729" s="462"/>
      <c r="B729" s="460"/>
      <c r="C729" s="460"/>
      <c r="D729" s="460"/>
      <c r="E729" s="460"/>
      <c r="F729" s="460"/>
      <c r="G729" s="461"/>
      <c r="H729" s="461"/>
      <c r="I729" s="461"/>
      <c r="J729" s="461"/>
      <c r="K729" s="461"/>
      <c r="L729" s="461"/>
      <c r="M729" s="461"/>
    </row>
    <row r="730" spans="1:13" x14ac:dyDescent="0.25">
      <c r="A730" s="462"/>
      <c r="B730" s="460"/>
      <c r="C730" s="460"/>
      <c r="D730" s="460"/>
      <c r="E730" s="460"/>
      <c r="F730" s="460"/>
      <c r="G730" s="461"/>
      <c r="H730" s="461"/>
      <c r="I730" s="461"/>
      <c r="J730" s="461"/>
      <c r="K730" s="461"/>
      <c r="L730" s="461"/>
      <c r="M730" s="461"/>
    </row>
    <row r="731" spans="1:13" x14ac:dyDescent="0.25">
      <c r="A731" s="462"/>
      <c r="B731" s="460"/>
      <c r="C731" s="460"/>
      <c r="D731" s="460"/>
      <c r="E731" s="460"/>
      <c r="F731" s="460"/>
      <c r="G731" s="461"/>
      <c r="H731" s="461"/>
      <c r="I731" s="461"/>
      <c r="J731" s="461"/>
      <c r="K731" s="461"/>
      <c r="L731" s="461"/>
      <c r="M731" s="461"/>
    </row>
    <row r="732" spans="1:13" x14ac:dyDescent="0.25">
      <c r="A732" s="462"/>
      <c r="B732" s="460"/>
      <c r="C732" s="460"/>
      <c r="D732" s="460"/>
      <c r="E732" s="460"/>
      <c r="F732" s="460"/>
      <c r="G732" s="461"/>
      <c r="H732" s="461"/>
      <c r="I732" s="461"/>
      <c r="J732" s="461"/>
      <c r="K732" s="461"/>
      <c r="L732" s="461"/>
      <c r="M732" s="461"/>
    </row>
    <row r="733" spans="1:13" x14ac:dyDescent="0.25">
      <c r="A733" s="462"/>
      <c r="B733" s="460"/>
      <c r="C733" s="460"/>
      <c r="D733" s="460"/>
      <c r="E733" s="460"/>
      <c r="F733" s="460"/>
      <c r="G733" s="461"/>
      <c r="H733" s="461"/>
      <c r="I733" s="461"/>
      <c r="J733" s="461"/>
      <c r="K733" s="461"/>
      <c r="L733" s="461"/>
      <c r="M733" s="461"/>
    </row>
    <row r="734" spans="1:13" x14ac:dyDescent="0.25">
      <c r="A734" s="462"/>
      <c r="B734" s="460"/>
      <c r="C734" s="460"/>
      <c r="D734" s="460"/>
      <c r="E734" s="460"/>
      <c r="F734" s="460"/>
      <c r="G734" s="461"/>
      <c r="H734" s="461"/>
      <c r="I734" s="461"/>
      <c r="J734" s="461"/>
      <c r="K734" s="461"/>
      <c r="L734" s="461"/>
      <c r="M734" s="461"/>
    </row>
    <row r="735" spans="1:13" x14ac:dyDescent="0.25">
      <c r="A735" s="462"/>
      <c r="B735" s="460"/>
      <c r="C735" s="460"/>
      <c r="D735" s="460"/>
      <c r="E735" s="460"/>
      <c r="F735" s="460"/>
      <c r="G735" s="461"/>
      <c r="H735" s="461"/>
      <c r="I735" s="461"/>
      <c r="J735" s="461"/>
      <c r="K735" s="461"/>
      <c r="L735" s="461"/>
      <c r="M735" s="461"/>
    </row>
    <row r="736" spans="1:13" x14ac:dyDescent="0.25">
      <c r="A736" s="462"/>
      <c r="B736" s="460"/>
      <c r="C736" s="460"/>
      <c r="D736" s="460"/>
      <c r="E736" s="460"/>
      <c r="F736" s="460"/>
      <c r="G736" s="461"/>
      <c r="H736" s="461"/>
      <c r="I736" s="461"/>
      <c r="J736" s="461"/>
      <c r="K736" s="461"/>
      <c r="L736" s="461"/>
      <c r="M736" s="461"/>
    </row>
    <row r="737" spans="1:13" x14ac:dyDescent="0.25">
      <c r="A737" s="462"/>
      <c r="B737" s="460"/>
      <c r="C737" s="460"/>
      <c r="D737" s="460"/>
      <c r="E737" s="460"/>
      <c r="F737" s="460"/>
      <c r="G737" s="461"/>
      <c r="H737" s="461"/>
      <c r="I737" s="461"/>
      <c r="J737" s="461"/>
      <c r="K737" s="461"/>
      <c r="L737" s="461"/>
      <c r="M737" s="461"/>
    </row>
    <row r="738" spans="1:13" x14ac:dyDescent="0.25">
      <c r="A738" s="462"/>
      <c r="B738" s="460"/>
      <c r="C738" s="460"/>
      <c r="D738" s="460"/>
      <c r="E738" s="460"/>
      <c r="F738" s="460"/>
      <c r="G738" s="461"/>
      <c r="H738" s="461"/>
      <c r="I738" s="461"/>
      <c r="J738" s="461"/>
      <c r="K738" s="461"/>
      <c r="L738" s="461"/>
      <c r="M738" s="461"/>
    </row>
    <row r="739" spans="1:13" x14ac:dyDescent="0.25">
      <c r="A739" s="462"/>
      <c r="B739" s="460"/>
      <c r="C739" s="460"/>
      <c r="D739" s="460"/>
      <c r="E739" s="460"/>
      <c r="F739" s="460"/>
      <c r="G739" s="461"/>
      <c r="H739" s="461"/>
      <c r="I739" s="461"/>
      <c r="J739" s="461"/>
      <c r="K739" s="461"/>
      <c r="L739" s="461"/>
      <c r="M739" s="461"/>
    </row>
    <row r="740" spans="1:13" x14ac:dyDescent="0.25">
      <c r="A740" s="462"/>
      <c r="B740" s="460"/>
      <c r="C740" s="460"/>
      <c r="D740" s="460"/>
      <c r="E740" s="460"/>
      <c r="F740" s="460"/>
      <c r="G740" s="461"/>
      <c r="H740" s="461"/>
      <c r="I740" s="461"/>
      <c r="J740" s="461"/>
      <c r="K740" s="461"/>
      <c r="L740" s="461"/>
      <c r="M740" s="461"/>
    </row>
    <row r="741" spans="1:13" x14ac:dyDescent="0.25">
      <c r="A741" s="462"/>
      <c r="B741" s="460"/>
      <c r="C741" s="460"/>
      <c r="D741" s="460"/>
      <c r="E741" s="460"/>
      <c r="F741" s="460"/>
      <c r="G741" s="461"/>
      <c r="H741" s="461"/>
      <c r="I741" s="461"/>
      <c r="J741" s="461"/>
      <c r="K741" s="461"/>
      <c r="L741" s="461"/>
      <c r="M741" s="461"/>
    </row>
    <row r="742" spans="1:13" x14ac:dyDescent="0.25">
      <c r="A742" s="462"/>
      <c r="B742" s="460"/>
      <c r="C742" s="460"/>
      <c r="D742" s="460"/>
      <c r="E742" s="460"/>
      <c r="F742" s="460"/>
      <c r="G742" s="461"/>
      <c r="H742" s="461"/>
      <c r="I742" s="461"/>
      <c r="J742" s="461"/>
      <c r="K742" s="461"/>
      <c r="L742" s="461"/>
      <c r="M742" s="461"/>
    </row>
    <row r="743" spans="1:13" x14ac:dyDescent="0.25">
      <c r="A743" s="462"/>
      <c r="B743" s="460"/>
      <c r="C743" s="460"/>
      <c r="D743" s="460"/>
      <c r="E743" s="460"/>
      <c r="F743" s="460"/>
      <c r="G743" s="461"/>
      <c r="H743" s="461"/>
      <c r="I743" s="461"/>
      <c r="J743" s="461"/>
      <c r="K743" s="461"/>
      <c r="L743" s="461"/>
      <c r="M743" s="461"/>
    </row>
    <row r="744" spans="1:13" x14ac:dyDescent="0.25">
      <c r="A744" s="462"/>
      <c r="B744" s="460"/>
      <c r="C744" s="460"/>
      <c r="D744" s="460"/>
      <c r="E744" s="460"/>
      <c r="F744" s="460"/>
      <c r="G744" s="461"/>
      <c r="H744" s="461"/>
      <c r="I744" s="461"/>
      <c r="J744" s="461"/>
      <c r="K744" s="461"/>
      <c r="L744" s="461"/>
      <c r="M744" s="461"/>
    </row>
    <row r="745" spans="1:13" x14ac:dyDescent="0.25">
      <c r="A745" s="462"/>
      <c r="B745" s="460"/>
      <c r="C745" s="460"/>
      <c r="D745" s="460"/>
      <c r="E745" s="460"/>
      <c r="F745" s="460"/>
      <c r="G745" s="461"/>
      <c r="H745" s="461"/>
      <c r="I745" s="461"/>
      <c r="J745" s="461"/>
      <c r="K745" s="461"/>
      <c r="L745" s="461"/>
      <c r="M745" s="461"/>
    </row>
    <row r="746" spans="1:13" x14ac:dyDescent="0.25">
      <c r="A746" s="462"/>
      <c r="B746" s="460"/>
      <c r="C746" s="460"/>
      <c r="D746" s="460"/>
      <c r="E746" s="460"/>
      <c r="F746" s="460"/>
      <c r="G746" s="461"/>
      <c r="H746" s="461"/>
      <c r="I746" s="461"/>
      <c r="J746" s="461"/>
      <c r="K746" s="461"/>
      <c r="L746" s="461"/>
      <c r="M746" s="461"/>
    </row>
    <row r="747" spans="1:13" x14ac:dyDescent="0.25">
      <c r="A747" s="462"/>
      <c r="B747" s="460"/>
      <c r="C747" s="460"/>
      <c r="D747" s="460"/>
      <c r="E747" s="460"/>
      <c r="F747" s="460"/>
      <c r="G747" s="461"/>
      <c r="H747" s="461"/>
      <c r="I747" s="461"/>
      <c r="J747" s="461"/>
      <c r="K747" s="461"/>
      <c r="L747" s="461"/>
      <c r="M747" s="461"/>
    </row>
    <row r="748" spans="1:13" x14ac:dyDescent="0.25">
      <c r="A748" s="462"/>
      <c r="B748" s="460"/>
      <c r="C748" s="460"/>
      <c r="D748" s="460"/>
      <c r="E748" s="460"/>
      <c r="F748" s="460"/>
      <c r="G748" s="461"/>
      <c r="H748" s="461"/>
      <c r="I748" s="461"/>
      <c r="J748" s="461"/>
      <c r="K748" s="461"/>
      <c r="L748" s="461"/>
      <c r="M748" s="461"/>
    </row>
    <row r="749" spans="1:13" x14ac:dyDescent="0.25">
      <c r="A749" s="462"/>
      <c r="B749" s="460"/>
      <c r="C749" s="460"/>
      <c r="D749" s="460"/>
      <c r="E749" s="460"/>
      <c r="F749" s="460"/>
      <c r="G749" s="461"/>
      <c r="H749" s="461"/>
      <c r="I749" s="461"/>
      <c r="J749" s="461"/>
      <c r="K749" s="461"/>
      <c r="L749" s="461"/>
      <c r="M749" s="461"/>
    </row>
    <row r="750" spans="1:13" x14ac:dyDescent="0.25">
      <c r="A750" s="462"/>
      <c r="B750" s="460"/>
      <c r="C750" s="460"/>
      <c r="D750" s="460"/>
      <c r="E750" s="460"/>
      <c r="F750" s="460"/>
      <c r="G750" s="461"/>
      <c r="H750" s="461"/>
      <c r="I750" s="461"/>
      <c r="J750" s="461"/>
      <c r="K750" s="461"/>
      <c r="L750" s="461"/>
      <c r="M750" s="461"/>
    </row>
    <row r="751" spans="1:13" x14ac:dyDescent="0.25">
      <c r="A751" s="462"/>
      <c r="B751" s="460"/>
      <c r="C751" s="460"/>
      <c r="D751" s="460"/>
      <c r="E751" s="460"/>
      <c r="F751" s="460"/>
      <c r="G751" s="461"/>
      <c r="H751" s="461"/>
      <c r="I751" s="461"/>
      <c r="J751" s="461"/>
      <c r="K751" s="461"/>
      <c r="L751" s="461"/>
      <c r="M751" s="461"/>
    </row>
    <row r="752" spans="1:13" x14ac:dyDescent="0.25">
      <c r="A752" s="462"/>
      <c r="B752" s="460"/>
      <c r="C752" s="460"/>
      <c r="D752" s="460"/>
      <c r="E752" s="460"/>
      <c r="F752" s="460"/>
      <c r="G752" s="461"/>
      <c r="H752" s="461"/>
      <c r="I752" s="461"/>
      <c r="J752" s="461"/>
      <c r="K752" s="461"/>
      <c r="L752" s="461"/>
      <c r="M752" s="461"/>
    </row>
    <row r="753" spans="1:13" x14ac:dyDescent="0.25">
      <c r="A753" s="462"/>
      <c r="B753" s="460"/>
      <c r="C753" s="460"/>
      <c r="D753" s="460"/>
      <c r="E753" s="460"/>
      <c r="F753" s="460"/>
      <c r="G753" s="461"/>
      <c r="H753" s="461"/>
      <c r="I753" s="461"/>
      <c r="J753" s="461"/>
      <c r="K753" s="461"/>
      <c r="L753" s="461"/>
      <c r="M753" s="461"/>
    </row>
    <row r="754" spans="1:13" x14ac:dyDescent="0.25">
      <c r="A754" s="462"/>
      <c r="B754" s="460"/>
      <c r="C754" s="460"/>
      <c r="D754" s="460"/>
      <c r="E754" s="460"/>
      <c r="F754" s="460"/>
      <c r="G754" s="461"/>
      <c r="H754" s="461"/>
      <c r="I754" s="461"/>
      <c r="J754" s="461"/>
      <c r="K754" s="461"/>
      <c r="L754" s="461"/>
      <c r="M754" s="461"/>
    </row>
    <row r="755" spans="1:13" x14ac:dyDescent="0.25">
      <c r="A755" s="462"/>
      <c r="B755" s="460"/>
      <c r="C755" s="460"/>
      <c r="D755" s="460"/>
      <c r="E755" s="460"/>
      <c r="F755" s="460"/>
      <c r="G755" s="461"/>
      <c r="H755" s="461"/>
      <c r="I755" s="461"/>
      <c r="J755" s="461"/>
      <c r="K755" s="461"/>
      <c r="L755" s="461"/>
      <c r="M755" s="461"/>
    </row>
    <row r="756" spans="1:13" x14ac:dyDescent="0.25">
      <c r="A756" s="462"/>
      <c r="B756" s="460"/>
      <c r="C756" s="460"/>
      <c r="D756" s="460"/>
      <c r="E756" s="460"/>
      <c r="F756" s="460"/>
      <c r="G756" s="461"/>
      <c r="H756" s="461"/>
      <c r="I756" s="461"/>
      <c r="J756" s="461"/>
      <c r="K756" s="461"/>
      <c r="L756" s="461"/>
      <c r="M756" s="461"/>
    </row>
    <row r="757" spans="1:13" x14ac:dyDescent="0.25">
      <c r="A757" s="462"/>
      <c r="B757" s="460"/>
      <c r="C757" s="460"/>
      <c r="D757" s="460"/>
      <c r="E757" s="460"/>
      <c r="F757" s="460"/>
      <c r="G757" s="461"/>
      <c r="H757" s="461"/>
      <c r="I757" s="461"/>
      <c r="J757" s="461"/>
      <c r="K757" s="461"/>
      <c r="L757" s="461"/>
      <c r="M757" s="461"/>
    </row>
    <row r="758" spans="1:13" x14ac:dyDescent="0.25">
      <c r="A758" s="462"/>
      <c r="B758" s="460"/>
      <c r="C758" s="460"/>
      <c r="D758" s="460"/>
      <c r="E758" s="460"/>
      <c r="F758" s="460"/>
      <c r="G758" s="461"/>
      <c r="H758" s="461"/>
      <c r="I758" s="461"/>
      <c r="J758" s="461"/>
      <c r="K758" s="461"/>
      <c r="L758" s="461"/>
      <c r="M758" s="461"/>
    </row>
    <row r="759" spans="1:13" x14ac:dyDescent="0.25">
      <c r="A759" s="462"/>
      <c r="B759" s="460"/>
      <c r="C759" s="460"/>
      <c r="D759" s="460"/>
      <c r="E759" s="460"/>
      <c r="F759" s="460"/>
      <c r="G759" s="461"/>
      <c r="H759" s="461"/>
      <c r="I759" s="461"/>
      <c r="J759" s="461"/>
      <c r="K759" s="461"/>
      <c r="L759" s="461"/>
      <c r="M759" s="461"/>
    </row>
    <row r="760" spans="1:13" x14ac:dyDescent="0.25">
      <c r="A760" s="462"/>
      <c r="B760" s="460"/>
      <c r="C760" s="460"/>
      <c r="D760" s="460"/>
      <c r="E760" s="460"/>
      <c r="F760" s="460"/>
      <c r="G760" s="461"/>
      <c r="H760" s="461"/>
      <c r="I760" s="461"/>
      <c r="J760" s="461"/>
      <c r="K760" s="461"/>
      <c r="L760" s="461"/>
      <c r="M760" s="461"/>
    </row>
    <row r="761" spans="1:13" x14ac:dyDescent="0.25">
      <c r="A761" s="462"/>
      <c r="B761" s="460"/>
      <c r="C761" s="460"/>
      <c r="D761" s="460"/>
      <c r="E761" s="460"/>
      <c r="F761" s="460"/>
      <c r="G761" s="461"/>
      <c r="H761" s="461"/>
      <c r="I761" s="461"/>
      <c r="J761" s="461"/>
      <c r="K761" s="461"/>
      <c r="L761" s="461"/>
      <c r="M761" s="461"/>
    </row>
    <row r="762" spans="1:13" x14ac:dyDescent="0.25">
      <c r="A762" s="462"/>
      <c r="B762" s="460"/>
      <c r="C762" s="460"/>
      <c r="D762" s="460"/>
      <c r="E762" s="460"/>
      <c r="F762" s="460"/>
      <c r="G762" s="461"/>
      <c r="H762" s="461"/>
      <c r="I762" s="461"/>
      <c r="J762" s="461"/>
      <c r="K762" s="461"/>
      <c r="L762" s="461"/>
      <c r="M762" s="461"/>
    </row>
    <row r="763" spans="1:13" x14ac:dyDescent="0.25">
      <c r="A763" s="462"/>
      <c r="B763" s="460"/>
      <c r="C763" s="460"/>
      <c r="D763" s="460"/>
      <c r="E763" s="460"/>
      <c r="F763" s="460"/>
      <c r="G763" s="461"/>
      <c r="H763" s="461"/>
      <c r="I763" s="461"/>
      <c r="J763" s="461"/>
      <c r="K763" s="461"/>
      <c r="L763" s="461"/>
      <c r="M763" s="461"/>
    </row>
    <row r="764" spans="1:13" x14ac:dyDescent="0.25">
      <c r="A764" s="462"/>
      <c r="B764" s="460"/>
      <c r="C764" s="460"/>
      <c r="D764" s="460"/>
      <c r="E764" s="460"/>
      <c r="F764" s="460"/>
      <c r="G764" s="461"/>
      <c r="H764" s="461"/>
      <c r="I764" s="461"/>
      <c r="J764" s="461"/>
      <c r="K764" s="461"/>
      <c r="L764" s="461"/>
      <c r="M764" s="461"/>
    </row>
    <row r="765" spans="1:13" x14ac:dyDescent="0.25">
      <c r="A765" s="462"/>
      <c r="B765" s="460"/>
      <c r="C765" s="460"/>
      <c r="D765" s="460"/>
      <c r="E765" s="460"/>
      <c r="F765" s="460"/>
      <c r="G765" s="461"/>
      <c r="H765" s="461"/>
      <c r="I765" s="461"/>
      <c r="J765" s="461"/>
      <c r="K765" s="461"/>
      <c r="L765" s="461"/>
      <c r="M765" s="461"/>
    </row>
    <row r="766" spans="1:13" x14ac:dyDescent="0.25">
      <c r="A766" s="462"/>
      <c r="B766" s="460"/>
      <c r="C766" s="460"/>
      <c r="D766" s="460"/>
      <c r="E766" s="460"/>
      <c r="F766" s="460"/>
      <c r="G766" s="461"/>
      <c r="H766" s="461"/>
      <c r="I766" s="461"/>
      <c r="J766" s="461"/>
      <c r="K766" s="461"/>
      <c r="L766" s="461"/>
      <c r="M766" s="461"/>
    </row>
    <row r="767" spans="1:13" x14ac:dyDescent="0.25">
      <c r="A767" s="462"/>
      <c r="B767" s="460"/>
      <c r="C767" s="460"/>
      <c r="D767" s="460"/>
      <c r="E767" s="460"/>
      <c r="F767" s="460"/>
      <c r="G767" s="461"/>
      <c r="H767" s="461"/>
      <c r="I767" s="461"/>
      <c r="J767" s="461"/>
      <c r="K767" s="461"/>
      <c r="L767" s="461"/>
      <c r="M767" s="461"/>
    </row>
    <row r="768" spans="1:13" x14ac:dyDescent="0.25">
      <c r="A768" s="462"/>
      <c r="B768" s="460"/>
      <c r="C768" s="460"/>
      <c r="D768" s="460"/>
      <c r="E768" s="460"/>
      <c r="F768" s="460"/>
      <c r="G768" s="461"/>
      <c r="H768" s="461"/>
      <c r="I768" s="461"/>
      <c r="J768" s="461"/>
      <c r="K768" s="461"/>
      <c r="L768" s="461"/>
      <c r="M768" s="461"/>
    </row>
    <row r="769" spans="1:13" x14ac:dyDescent="0.25">
      <c r="A769" s="462"/>
      <c r="B769" s="460"/>
      <c r="C769" s="460"/>
      <c r="D769" s="460"/>
      <c r="E769" s="460"/>
      <c r="F769" s="460"/>
      <c r="G769" s="461"/>
      <c r="H769" s="461"/>
      <c r="I769" s="461"/>
      <c r="J769" s="461"/>
      <c r="K769" s="461"/>
      <c r="L769" s="461"/>
      <c r="M769" s="461"/>
    </row>
    <row r="770" spans="1:13" x14ac:dyDescent="0.25">
      <c r="A770" s="462"/>
      <c r="B770" s="460"/>
      <c r="C770" s="460"/>
      <c r="D770" s="460"/>
      <c r="E770" s="460"/>
      <c r="F770" s="460"/>
      <c r="G770" s="461"/>
      <c r="H770" s="461"/>
      <c r="I770" s="461"/>
      <c r="J770" s="461"/>
      <c r="K770" s="461"/>
      <c r="L770" s="461"/>
      <c r="M770" s="461"/>
    </row>
    <row r="771" spans="1:13" x14ac:dyDescent="0.25">
      <c r="A771" s="462"/>
      <c r="B771" s="460"/>
      <c r="C771" s="460"/>
      <c r="D771" s="460"/>
      <c r="E771" s="460"/>
      <c r="F771" s="460"/>
      <c r="G771" s="461"/>
      <c r="H771" s="461"/>
      <c r="I771" s="461"/>
      <c r="J771" s="461"/>
      <c r="K771" s="461"/>
      <c r="L771" s="461"/>
      <c r="M771" s="461"/>
    </row>
    <row r="772" spans="1:13" x14ac:dyDescent="0.25">
      <c r="A772" s="462"/>
      <c r="B772" s="460"/>
      <c r="C772" s="460"/>
      <c r="D772" s="460"/>
      <c r="E772" s="460"/>
      <c r="F772" s="460"/>
      <c r="G772" s="461"/>
      <c r="H772" s="461"/>
      <c r="I772" s="461"/>
      <c r="J772" s="461"/>
      <c r="K772" s="461"/>
      <c r="L772" s="461"/>
      <c r="M772" s="461"/>
    </row>
    <row r="773" spans="1:13" x14ac:dyDescent="0.25">
      <c r="A773" s="462"/>
      <c r="B773" s="460"/>
      <c r="C773" s="460"/>
      <c r="D773" s="460"/>
      <c r="E773" s="460"/>
      <c r="F773" s="460"/>
      <c r="G773" s="461"/>
      <c r="H773" s="461"/>
      <c r="I773" s="461"/>
      <c r="J773" s="461"/>
      <c r="K773" s="461"/>
      <c r="L773" s="461"/>
      <c r="M773" s="461"/>
    </row>
    <row r="774" spans="1:13" x14ac:dyDescent="0.25">
      <c r="A774" s="462"/>
      <c r="B774" s="460"/>
      <c r="C774" s="460"/>
      <c r="D774" s="460"/>
      <c r="E774" s="460"/>
      <c r="F774" s="460"/>
      <c r="G774" s="461"/>
      <c r="H774" s="461"/>
      <c r="I774" s="461"/>
      <c r="J774" s="461"/>
      <c r="K774" s="461"/>
      <c r="L774" s="461"/>
      <c r="M774" s="461"/>
    </row>
    <row r="775" spans="1:13" x14ac:dyDescent="0.25">
      <c r="A775" s="462"/>
      <c r="B775" s="460"/>
      <c r="C775" s="460"/>
      <c r="D775" s="460"/>
      <c r="E775" s="460"/>
      <c r="F775" s="460"/>
      <c r="G775" s="461"/>
      <c r="H775" s="461"/>
      <c r="I775" s="461"/>
      <c r="J775" s="461"/>
      <c r="K775" s="461"/>
      <c r="L775" s="461"/>
      <c r="M775" s="461"/>
    </row>
    <row r="776" spans="1:13" x14ac:dyDescent="0.25">
      <c r="A776" s="462"/>
      <c r="B776" s="460"/>
      <c r="C776" s="460"/>
      <c r="D776" s="460"/>
      <c r="E776" s="460"/>
      <c r="F776" s="460"/>
      <c r="G776" s="461"/>
      <c r="H776" s="461"/>
      <c r="I776" s="461"/>
      <c r="J776" s="461"/>
      <c r="K776" s="461"/>
      <c r="L776" s="461"/>
      <c r="M776" s="461"/>
    </row>
    <row r="777" spans="1:13" x14ac:dyDescent="0.25">
      <c r="A777" s="462"/>
      <c r="B777" s="460"/>
      <c r="C777" s="460"/>
      <c r="D777" s="460"/>
      <c r="E777" s="460"/>
      <c r="F777" s="460"/>
      <c r="G777" s="461"/>
      <c r="H777" s="461"/>
      <c r="I777" s="461"/>
      <c r="J777" s="461"/>
      <c r="K777" s="461"/>
      <c r="L777" s="461"/>
      <c r="M777" s="461"/>
    </row>
    <row r="778" spans="1:13" x14ac:dyDescent="0.25">
      <c r="A778" s="462"/>
      <c r="B778" s="460"/>
      <c r="C778" s="460"/>
      <c r="D778" s="460"/>
      <c r="E778" s="460"/>
      <c r="F778" s="460"/>
      <c r="G778" s="461"/>
      <c r="H778" s="461"/>
      <c r="I778" s="461"/>
      <c r="J778" s="461"/>
      <c r="K778" s="461"/>
      <c r="L778" s="461"/>
      <c r="M778" s="461"/>
    </row>
    <row r="779" spans="1:13" x14ac:dyDescent="0.25">
      <c r="A779" s="462"/>
      <c r="B779" s="460"/>
      <c r="C779" s="460"/>
      <c r="D779" s="460"/>
      <c r="E779" s="460"/>
      <c r="F779" s="460"/>
      <c r="G779" s="461"/>
      <c r="H779" s="461"/>
      <c r="I779" s="461"/>
      <c r="J779" s="461"/>
      <c r="K779" s="461"/>
      <c r="L779" s="461"/>
      <c r="M779" s="461"/>
    </row>
    <row r="780" spans="1:13" x14ac:dyDescent="0.25">
      <c r="A780" s="462"/>
      <c r="B780" s="460"/>
      <c r="C780" s="460"/>
      <c r="D780" s="460"/>
      <c r="E780" s="460"/>
      <c r="F780" s="460"/>
      <c r="G780" s="461"/>
      <c r="H780" s="461"/>
      <c r="I780" s="461"/>
      <c r="J780" s="461"/>
      <c r="K780" s="461"/>
      <c r="L780" s="461"/>
      <c r="M780" s="461"/>
    </row>
    <row r="781" spans="1:13" x14ac:dyDescent="0.25">
      <c r="A781" s="462"/>
      <c r="B781" s="460"/>
      <c r="C781" s="460"/>
      <c r="D781" s="460"/>
      <c r="E781" s="460"/>
      <c r="F781" s="460"/>
      <c r="G781" s="461"/>
      <c r="H781" s="461"/>
      <c r="I781" s="461"/>
      <c r="J781" s="461"/>
      <c r="K781" s="461"/>
      <c r="L781" s="461"/>
      <c r="M781" s="461"/>
    </row>
    <row r="782" spans="1:13" x14ac:dyDescent="0.25">
      <c r="A782" s="462"/>
      <c r="B782" s="460"/>
      <c r="C782" s="460"/>
      <c r="D782" s="460"/>
      <c r="E782" s="460"/>
      <c r="F782" s="460"/>
      <c r="G782" s="461"/>
      <c r="H782" s="461"/>
      <c r="I782" s="461"/>
      <c r="J782" s="461"/>
      <c r="K782" s="461"/>
      <c r="L782" s="461"/>
      <c r="M782" s="461"/>
    </row>
    <row r="783" spans="1:13" x14ac:dyDescent="0.25">
      <c r="A783" s="462"/>
      <c r="B783" s="460"/>
      <c r="C783" s="460"/>
      <c r="D783" s="460"/>
      <c r="E783" s="460"/>
      <c r="F783" s="460"/>
      <c r="G783" s="461"/>
      <c r="H783" s="461"/>
      <c r="I783" s="461"/>
      <c r="J783" s="461"/>
      <c r="K783" s="461"/>
      <c r="L783" s="461"/>
      <c r="M783" s="461"/>
    </row>
    <row r="784" spans="1:13" x14ac:dyDescent="0.25">
      <c r="A784" s="462"/>
      <c r="B784" s="460"/>
      <c r="C784" s="460"/>
      <c r="D784" s="460"/>
      <c r="E784" s="460"/>
      <c r="F784" s="460"/>
      <c r="G784" s="461"/>
      <c r="H784" s="461"/>
      <c r="I784" s="461"/>
      <c r="J784" s="461"/>
      <c r="K784" s="461"/>
      <c r="L784" s="461"/>
      <c r="M784" s="461"/>
    </row>
    <row r="785" spans="1:13" x14ac:dyDescent="0.25">
      <c r="A785" s="462"/>
      <c r="B785" s="460"/>
      <c r="C785" s="460"/>
      <c r="D785" s="460"/>
      <c r="E785" s="460"/>
      <c r="F785" s="460"/>
      <c r="G785" s="461"/>
      <c r="H785" s="461"/>
      <c r="I785" s="461"/>
      <c r="J785" s="461"/>
      <c r="K785" s="461"/>
      <c r="L785" s="461"/>
      <c r="M785" s="461"/>
    </row>
    <row r="786" spans="1:13" x14ac:dyDescent="0.25">
      <c r="A786" s="462"/>
      <c r="B786" s="460"/>
      <c r="C786" s="460"/>
      <c r="D786" s="460"/>
      <c r="E786" s="460"/>
      <c r="F786" s="460"/>
      <c r="G786" s="461"/>
      <c r="H786" s="461"/>
      <c r="I786" s="461"/>
      <c r="J786" s="461"/>
      <c r="K786" s="461"/>
      <c r="L786" s="461"/>
      <c r="M786" s="461"/>
    </row>
    <row r="787" spans="1:13" x14ac:dyDescent="0.25">
      <c r="A787" s="462"/>
      <c r="B787" s="460"/>
      <c r="C787" s="460"/>
      <c r="D787" s="460"/>
      <c r="E787" s="460"/>
      <c r="F787" s="460"/>
      <c r="G787" s="461"/>
      <c r="H787" s="461"/>
      <c r="I787" s="461"/>
      <c r="J787" s="461"/>
      <c r="K787" s="461"/>
      <c r="L787" s="461"/>
      <c r="M787" s="461"/>
    </row>
    <row r="788" spans="1:13" x14ac:dyDescent="0.25">
      <c r="A788" s="462"/>
      <c r="B788" s="460"/>
      <c r="C788" s="460"/>
      <c r="D788" s="460"/>
      <c r="E788" s="460"/>
      <c r="F788" s="460"/>
      <c r="G788" s="461"/>
      <c r="H788" s="461"/>
      <c r="I788" s="461"/>
      <c r="J788" s="461"/>
      <c r="K788" s="461"/>
      <c r="L788" s="461"/>
      <c r="M788" s="461"/>
    </row>
    <row r="789" spans="1:13" x14ac:dyDescent="0.25">
      <c r="A789" s="462"/>
      <c r="B789" s="460"/>
      <c r="C789" s="460"/>
      <c r="D789" s="460"/>
      <c r="E789" s="460"/>
      <c r="F789" s="460"/>
      <c r="G789" s="461"/>
      <c r="H789" s="461"/>
      <c r="I789" s="461"/>
      <c r="J789" s="461"/>
      <c r="K789" s="461"/>
      <c r="L789" s="461"/>
      <c r="M789" s="461"/>
    </row>
    <row r="790" spans="1:13" x14ac:dyDescent="0.25">
      <c r="A790" s="462"/>
      <c r="B790" s="460"/>
      <c r="C790" s="460"/>
      <c r="D790" s="460"/>
      <c r="E790" s="460"/>
      <c r="F790" s="460"/>
      <c r="G790" s="461"/>
      <c r="H790" s="461"/>
      <c r="I790" s="461"/>
      <c r="J790" s="461"/>
      <c r="K790" s="461"/>
      <c r="L790" s="461"/>
      <c r="M790" s="461"/>
    </row>
    <row r="791" spans="1:13" x14ac:dyDescent="0.25">
      <c r="A791" s="462"/>
      <c r="B791" s="460"/>
      <c r="C791" s="460"/>
      <c r="D791" s="460"/>
      <c r="E791" s="460"/>
      <c r="F791" s="460"/>
      <c r="G791" s="461"/>
      <c r="H791" s="461"/>
      <c r="I791" s="461"/>
      <c r="J791" s="461"/>
      <c r="K791" s="461"/>
      <c r="L791" s="461"/>
      <c r="M791" s="461"/>
    </row>
    <row r="792" spans="1:13" x14ac:dyDescent="0.25">
      <c r="A792" s="462"/>
      <c r="B792" s="460"/>
      <c r="C792" s="460"/>
      <c r="D792" s="460"/>
      <c r="E792" s="460"/>
      <c r="F792" s="460"/>
      <c r="G792" s="461"/>
      <c r="H792" s="461"/>
      <c r="I792" s="461"/>
      <c r="J792" s="461"/>
      <c r="K792" s="461"/>
      <c r="L792" s="461"/>
      <c r="M792" s="461"/>
    </row>
    <row r="793" spans="1:13" x14ac:dyDescent="0.25">
      <c r="A793" s="462"/>
      <c r="B793" s="460"/>
      <c r="C793" s="460"/>
      <c r="D793" s="460"/>
      <c r="E793" s="460"/>
      <c r="F793" s="460"/>
      <c r="G793" s="461"/>
      <c r="H793" s="461"/>
      <c r="I793" s="461"/>
      <c r="J793" s="461"/>
      <c r="K793" s="461"/>
      <c r="L793" s="461"/>
      <c r="M793" s="461"/>
    </row>
    <row r="794" spans="1:13" x14ac:dyDescent="0.25">
      <c r="A794" s="462"/>
      <c r="B794" s="460"/>
      <c r="C794" s="460"/>
      <c r="D794" s="460"/>
      <c r="E794" s="460"/>
      <c r="F794" s="460"/>
      <c r="G794" s="461"/>
      <c r="H794" s="461"/>
      <c r="I794" s="461"/>
      <c r="J794" s="461"/>
      <c r="K794" s="461"/>
      <c r="L794" s="461"/>
      <c r="M794" s="461"/>
    </row>
    <row r="795" spans="1:13" x14ac:dyDescent="0.25">
      <c r="A795" s="462"/>
      <c r="B795" s="460"/>
      <c r="C795" s="460"/>
      <c r="D795" s="460"/>
      <c r="E795" s="460"/>
      <c r="F795" s="460"/>
      <c r="G795" s="461"/>
      <c r="H795" s="461"/>
      <c r="I795" s="461"/>
      <c r="J795" s="461"/>
      <c r="K795" s="461"/>
      <c r="L795" s="461"/>
      <c r="M795" s="461"/>
    </row>
    <row r="796" spans="1:13" x14ac:dyDescent="0.25">
      <c r="A796" s="462"/>
      <c r="B796" s="460"/>
      <c r="C796" s="460"/>
      <c r="D796" s="460"/>
      <c r="E796" s="460"/>
      <c r="F796" s="460"/>
      <c r="G796" s="461"/>
      <c r="H796" s="461"/>
      <c r="I796" s="461"/>
      <c r="J796" s="461"/>
      <c r="K796" s="461"/>
      <c r="L796" s="461"/>
      <c r="M796" s="461"/>
    </row>
    <row r="797" spans="1:13" x14ac:dyDescent="0.25">
      <c r="A797" s="462"/>
      <c r="B797" s="460"/>
      <c r="C797" s="460"/>
      <c r="D797" s="460"/>
      <c r="E797" s="460"/>
      <c r="F797" s="460"/>
      <c r="G797" s="461"/>
      <c r="H797" s="461"/>
      <c r="I797" s="461"/>
      <c r="J797" s="461"/>
      <c r="K797" s="461"/>
      <c r="L797" s="461"/>
      <c r="M797" s="461"/>
    </row>
    <row r="798" spans="1:13" x14ac:dyDescent="0.25">
      <c r="A798" s="462"/>
      <c r="B798" s="460"/>
      <c r="C798" s="460"/>
      <c r="D798" s="460"/>
      <c r="E798" s="460"/>
      <c r="F798" s="460"/>
      <c r="G798" s="461"/>
      <c r="H798" s="461"/>
      <c r="I798" s="461"/>
      <c r="J798" s="461"/>
      <c r="K798" s="461"/>
      <c r="L798" s="461"/>
      <c r="M798" s="461"/>
    </row>
    <row r="799" spans="1:13" x14ac:dyDescent="0.25">
      <c r="A799" s="462"/>
      <c r="B799" s="460"/>
      <c r="C799" s="460"/>
      <c r="D799" s="460"/>
      <c r="E799" s="460"/>
      <c r="F799" s="460"/>
      <c r="G799" s="461"/>
      <c r="H799" s="461"/>
      <c r="I799" s="461"/>
      <c r="J799" s="461"/>
      <c r="K799" s="461"/>
      <c r="L799" s="461"/>
      <c r="M799" s="461"/>
    </row>
    <row r="800" spans="1:13" x14ac:dyDescent="0.25">
      <c r="A800" s="462"/>
      <c r="B800" s="460"/>
      <c r="C800" s="460"/>
      <c r="D800" s="460"/>
      <c r="E800" s="460"/>
      <c r="F800" s="460"/>
      <c r="G800" s="461"/>
      <c r="H800" s="461"/>
      <c r="I800" s="461"/>
      <c r="J800" s="461"/>
      <c r="K800" s="461"/>
      <c r="L800" s="461"/>
      <c r="M800" s="461"/>
    </row>
    <row r="801" spans="1:13" x14ac:dyDescent="0.25">
      <c r="A801" s="462"/>
      <c r="B801" s="460"/>
      <c r="C801" s="460"/>
      <c r="D801" s="460"/>
      <c r="E801" s="460"/>
      <c r="F801" s="460"/>
      <c r="G801" s="461"/>
      <c r="H801" s="461"/>
      <c r="I801" s="461"/>
      <c r="J801" s="461"/>
      <c r="K801" s="461"/>
      <c r="L801" s="461"/>
      <c r="M801" s="461"/>
    </row>
    <row r="802" spans="1:13" x14ac:dyDescent="0.25">
      <c r="A802" s="462"/>
      <c r="B802" s="460"/>
      <c r="C802" s="460"/>
      <c r="D802" s="460"/>
      <c r="E802" s="460"/>
      <c r="F802" s="460"/>
      <c r="G802" s="461"/>
      <c r="H802" s="461"/>
      <c r="I802" s="461"/>
      <c r="J802" s="461"/>
      <c r="K802" s="461"/>
      <c r="L802" s="461"/>
      <c r="M802" s="461"/>
    </row>
    <row r="803" spans="1:13" x14ac:dyDescent="0.25">
      <c r="A803" s="462"/>
      <c r="B803" s="460"/>
      <c r="C803" s="460"/>
      <c r="D803" s="460"/>
      <c r="E803" s="460"/>
      <c r="F803" s="460"/>
      <c r="G803" s="461"/>
      <c r="H803" s="461"/>
      <c r="I803" s="461"/>
      <c r="J803" s="461"/>
      <c r="K803" s="461"/>
      <c r="L803" s="461"/>
      <c r="M803" s="461"/>
    </row>
    <row r="804" spans="1:13" x14ac:dyDescent="0.25">
      <c r="A804" s="462"/>
      <c r="B804" s="460"/>
      <c r="C804" s="460"/>
      <c r="D804" s="460"/>
      <c r="E804" s="460"/>
      <c r="F804" s="460"/>
      <c r="G804" s="461"/>
      <c r="H804" s="461"/>
      <c r="I804" s="461"/>
      <c r="J804" s="461"/>
      <c r="K804" s="461"/>
      <c r="L804" s="461"/>
      <c r="M804" s="461"/>
    </row>
    <row r="805" spans="1:13" x14ac:dyDescent="0.25">
      <c r="A805" s="462"/>
      <c r="B805" s="460"/>
      <c r="C805" s="460"/>
      <c r="D805" s="460"/>
      <c r="E805" s="460"/>
      <c r="F805" s="460"/>
      <c r="G805" s="461"/>
      <c r="H805" s="461"/>
      <c r="I805" s="461"/>
      <c r="J805" s="461"/>
      <c r="K805" s="461"/>
      <c r="L805" s="461"/>
      <c r="M805" s="461"/>
    </row>
    <row r="806" spans="1:13" x14ac:dyDescent="0.25">
      <c r="A806" s="462"/>
      <c r="B806" s="460"/>
      <c r="C806" s="460"/>
      <c r="D806" s="460"/>
      <c r="E806" s="460"/>
      <c r="F806" s="460"/>
      <c r="G806" s="461"/>
      <c r="H806" s="461"/>
      <c r="I806" s="461"/>
      <c r="J806" s="461"/>
      <c r="K806" s="461"/>
      <c r="L806" s="461"/>
      <c r="M806" s="461"/>
    </row>
    <row r="807" spans="1:13" x14ac:dyDescent="0.25">
      <c r="A807" s="462"/>
      <c r="B807" s="460"/>
      <c r="C807" s="460"/>
      <c r="D807" s="460"/>
      <c r="E807" s="460"/>
      <c r="F807" s="460"/>
      <c r="G807" s="461"/>
      <c r="H807" s="461"/>
      <c r="I807" s="461"/>
      <c r="J807" s="461"/>
      <c r="K807" s="461"/>
      <c r="L807" s="461"/>
      <c r="M807" s="461"/>
    </row>
    <row r="808" spans="1:13" x14ac:dyDescent="0.25">
      <c r="A808" s="462"/>
      <c r="B808" s="460"/>
      <c r="C808" s="460"/>
      <c r="D808" s="460"/>
      <c r="E808" s="460"/>
      <c r="F808" s="460"/>
      <c r="G808" s="461"/>
      <c r="H808" s="461"/>
      <c r="I808" s="461"/>
      <c r="J808" s="461"/>
      <c r="K808" s="461"/>
      <c r="L808" s="461"/>
      <c r="M808" s="461"/>
    </row>
    <row r="809" spans="1:13" x14ac:dyDescent="0.25">
      <c r="A809" s="462"/>
      <c r="B809" s="460"/>
      <c r="C809" s="460"/>
      <c r="D809" s="460"/>
      <c r="E809" s="460"/>
      <c r="F809" s="460"/>
      <c r="G809" s="461"/>
      <c r="H809" s="461"/>
      <c r="I809" s="461"/>
      <c r="J809" s="461"/>
      <c r="K809" s="461"/>
      <c r="L809" s="461"/>
      <c r="M809" s="461"/>
    </row>
    <row r="810" spans="1:13" x14ac:dyDescent="0.25">
      <c r="A810" s="462"/>
      <c r="B810" s="460"/>
      <c r="C810" s="460"/>
      <c r="D810" s="460"/>
      <c r="E810" s="460"/>
      <c r="F810" s="460"/>
      <c r="G810" s="461"/>
      <c r="H810" s="461"/>
      <c r="I810" s="461"/>
      <c r="J810" s="461"/>
      <c r="K810" s="461"/>
      <c r="L810" s="461"/>
      <c r="M810" s="461"/>
    </row>
    <row r="811" spans="1:13" x14ac:dyDescent="0.25">
      <c r="A811" s="462"/>
      <c r="B811" s="460"/>
      <c r="C811" s="460"/>
      <c r="D811" s="460"/>
      <c r="E811" s="460"/>
      <c r="F811" s="460"/>
      <c r="G811" s="461"/>
      <c r="H811" s="461"/>
      <c r="I811" s="461"/>
      <c r="J811" s="461"/>
      <c r="K811" s="461"/>
      <c r="L811" s="461"/>
      <c r="M811" s="461"/>
    </row>
    <row r="812" spans="1:13" x14ac:dyDescent="0.25">
      <c r="A812" s="462"/>
      <c r="B812" s="460"/>
      <c r="C812" s="460"/>
      <c r="D812" s="460"/>
      <c r="E812" s="460"/>
      <c r="F812" s="460"/>
      <c r="G812" s="461"/>
      <c r="H812" s="461"/>
      <c r="I812" s="461"/>
      <c r="J812" s="461"/>
      <c r="K812" s="461"/>
      <c r="L812" s="461"/>
      <c r="M812" s="461"/>
    </row>
    <row r="813" spans="1:13" x14ac:dyDescent="0.25">
      <c r="A813" s="462"/>
      <c r="B813" s="460"/>
      <c r="C813" s="460"/>
      <c r="D813" s="460"/>
      <c r="E813" s="460"/>
      <c r="F813" s="460"/>
      <c r="G813" s="461"/>
      <c r="H813" s="461"/>
      <c r="I813" s="461"/>
      <c r="J813" s="461"/>
      <c r="K813" s="461"/>
      <c r="L813" s="461"/>
      <c r="M813" s="461"/>
    </row>
    <row r="814" spans="1:13" x14ac:dyDescent="0.25">
      <c r="A814" s="462"/>
      <c r="B814" s="460"/>
      <c r="C814" s="460"/>
      <c r="D814" s="460"/>
      <c r="E814" s="460"/>
      <c r="F814" s="460"/>
      <c r="G814" s="461"/>
      <c r="H814" s="461"/>
      <c r="I814" s="461"/>
      <c r="J814" s="461"/>
      <c r="K814" s="461"/>
      <c r="L814" s="461"/>
      <c r="M814" s="461"/>
    </row>
    <row r="815" spans="1:13" x14ac:dyDescent="0.25">
      <c r="A815" s="462"/>
      <c r="B815" s="460"/>
      <c r="C815" s="460"/>
      <c r="D815" s="460"/>
      <c r="E815" s="460"/>
      <c r="F815" s="460"/>
      <c r="G815" s="461"/>
      <c r="H815" s="461"/>
      <c r="I815" s="461"/>
      <c r="J815" s="461"/>
      <c r="K815" s="461"/>
      <c r="L815" s="461"/>
      <c r="M815" s="461"/>
    </row>
    <row r="816" spans="1:13" x14ac:dyDescent="0.25">
      <c r="A816" s="462"/>
      <c r="B816" s="460"/>
      <c r="C816" s="460"/>
      <c r="D816" s="460"/>
      <c r="E816" s="460"/>
      <c r="F816" s="460"/>
      <c r="G816" s="461"/>
      <c r="H816" s="461"/>
      <c r="I816" s="461"/>
      <c r="J816" s="461"/>
      <c r="K816" s="461"/>
      <c r="L816" s="461"/>
      <c r="M816" s="461"/>
    </row>
    <row r="817" spans="1:13" x14ac:dyDescent="0.25">
      <c r="A817" s="462"/>
      <c r="B817" s="460"/>
      <c r="C817" s="460"/>
      <c r="D817" s="460"/>
      <c r="E817" s="460"/>
      <c r="F817" s="460"/>
      <c r="G817" s="461"/>
      <c r="H817" s="461"/>
      <c r="I817" s="461"/>
      <c r="J817" s="461"/>
      <c r="K817" s="461"/>
      <c r="L817" s="461"/>
      <c r="M817" s="461"/>
    </row>
    <row r="818" spans="1:13" x14ac:dyDescent="0.25">
      <c r="A818" s="462"/>
      <c r="B818" s="460"/>
      <c r="C818" s="460"/>
      <c r="D818" s="460"/>
      <c r="E818" s="460"/>
      <c r="F818" s="460"/>
      <c r="G818" s="461"/>
      <c r="H818" s="461"/>
      <c r="I818" s="461"/>
      <c r="J818" s="461"/>
      <c r="K818" s="461"/>
      <c r="L818" s="461"/>
      <c r="M818" s="461"/>
    </row>
    <row r="819" spans="1:13" x14ac:dyDescent="0.25">
      <c r="A819" s="462"/>
      <c r="B819" s="460"/>
      <c r="C819" s="460"/>
      <c r="D819" s="460"/>
      <c r="E819" s="460"/>
      <c r="F819" s="460"/>
      <c r="G819" s="461"/>
      <c r="H819" s="461"/>
      <c r="I819" s="461"/>
      <c r="J819" s="461"/>
      <c r="K819" s="461"/>
      <c r="L819" s="461"/>
      <c r="M819" s="461"/>
    </row>
    <row r="820" spans="1:13" x14ac:dyDescent="0.25">
      <c r="A820" s="462"/>
      <c r="B820" s="460"/>
      <c r="C820" s="460"/>
      <c r="D820" s="460"/>
      <c r="E820" s="460"/>
      <c r="F820" s="460"/>
      <c r="G820" s="461"/>
      <c r="H820" s="461"/>
      <c r="I820" s="461"/>
      <c r="J820" s="461"/>
      <c r="K820" s="461"/>
      <c r="L820" s="461"/>
      <c r="M820" s="461"/>
    </row>
    <row r="821" spans="1:13" x14ac:dyDescent="0.25">
      <c r="A821" s="462"/>
      <c r="B821" s="460"/>
      <c r="C821" s="460"/>
      <c r="D821" s="460"/>
      <c r="E821" s="460"/>
      <c r="F821" s="460"/>
      <c r="G821" s="461"/>
      <c r="H821" s="461"/>
      <c r="I821" s="461"/>
      <c r="J821" s="461"/>
      <c r="K821" s="461"/>
      <c r="L821" s="461"/>
      <c r="M821" s="461"/>
    </row>
    <row r="822" spans="1:13" x14ac:dyDescent="0.25">
      <c r="A822" s="462"/>
      <c r="B822" s="460"/>
      <c r="C822" s="460"/>
      <c r="D822" s="460"/>
      <c r="E822" s="460"/>
      <c r="F822" s="460"/>
      <c r="G822" s="461"/>
      <c r="H822" s="461"/>
      <c r="I822" s="461"/>
      <c r="J822" s="461"/>
      <c r="K822" s="461"/>
      <c r="L822" s="461"/>
      <c r="M822" s="461"/>
    </row>
    <row r="823" spans="1:13" x14ac:dyDescent="0.25">
      <c r="A823" s="462"/>
      <c r="B823" s="460"/>
      <c r="C823" s="460"/>
      <c r="D823" s="460"/>
      <c r="E823" s="460"/>
      <c r="F823" s="460"/>
      <c r="G823" s="461"/>
      <c r="H823" s="461"/>
      <c r="I823" s="461"/>
      <c r="J823" s="461"/>
      <c r="K823" s="461"/>
      <c r="L823" s="461"/>
      <c r="M823" s="461"/>
    </row>
    <row r="824" spans="1:13" x14ac:dyDescent="0.25">
      <c r="A824" s="462"/>
      <c r="B824" s="460"/>
      <c r="C824" s="460"/>
      <c r="D824" s="460"/>
      <c r="E824" s="460"/>
      <c r="F824" s="460"/>
      <c r="G824" s="461"/>
      <c r="H824" s="461"/>
      <c r="I824" s="461"/>
      <c r="J824" s="461"/>
      <c r="K824" s="461"/>
      <c r="L824" s="461"/>
      <c r="M824" s="461"/>
    </row>
    <row r="825" spans="1:13" x14ac:dyDescent="0.25">
      <c r="A825" s="462"/>
      <c r="B825" s="460"/>
      <c r="C825" s="460"/>
      <c r="D825" s="460"/>
      <c r="E825" s="460"/>
      <c r="F825" s="460"/>
      <c r="G825" s="461"/>
      <c r="H825" s="461"/>
      <c r="I825" s="461"/>
      <c r="J825" s="461"/>
      <c r="K825" s="461"/>
      <c r="L825" s="461"/>
      <c r="M825" s="461"/>
    </row>
    <row r="826" spans="1:13" x14ac:dyDescent="0.25">
      <c r="A826" s="462"/>
      <c r="B826" s="460"/>
      <c r="C826" s="460"/>
      <c r="D826" s="460"/>
      <c r="E826" s="460"/>
      <c r="F826" s="460"/>
      <c r="G826" s="461"/>
      <c r="H826" s="461"/>
      <c r="I826" s="461"/>
      <c r="J826" s="461"/>
      <c r="K826" s="461"/>
      <c r="L826" s="461"/>
      <c r="M826" s="461"/>
    </row>
    <row r="827" spans="1:13" x14ac:dyDescent="0.25">
      <c r="A827" s="462"/>
      <c r="B827" s="460"/>
      <c r="C827" s="460"/>
      <c r="D827" s="460"/>
      <c r="E827" s="460"/>
      <c r="F827" s="460"/>
      <c r="G827" s="461"/>
      <c r="H827" s="461"/>
      <c r="I827" s="461"/>
      <c r="J827" s="461"/>
      <c r="K827" s="461"/>
      <c r="L827" s="461"/>
      <c r="M827" s="461"/>
    </row>
    <row r="828" spans="1:13" x14ac:dyDescent="0.25">
      <c r="A828" s="462"/>
      <c r="B828" s="460"/>
      <c r="C828" s="460"/>
      <c r="D828" s="460"/>
      <c r="E828" s="460"/>
      <c r="F828" s="460"/>
      <c r="G828" s="461"/>
      <c r="H828" s="461"/>
      <c r="I828" s="461"/>
      <c r="J828" s="461"/>
      <c r="K828" s="461"/>
      <c r="L828" s="461"/>
      <c r="M828" s="461"/>
    </row>
    <row r="829" spans="1:13" x14ac:dyDescent="0.25">
      <c r="A829" s="462"/>
      <c r="B829" s="460"/>
      <c r="C829" s="460"/>
      <c r="D829" s="460"/>
      <c r="E829" s="460"/>
      <c r="F829" s="460"/>
      <c r="G829" s="461"/>
      <c r="H829" s="461"/>
      <c r="I829" s="461"/>
      <c r="J829" s="461"/>
      <c r="K829" s="461"/>
      <c r="L829" s="461"/>
      <c r="M829" s="461"/>
    </row>
    <row r="830" spans="1:13" x14ac:dyDescent="0.25">
      <c r="A830" s="462"/>
      <c r="B830" s="460"/>
      <c r="C830" s="460"/>
      <c r="D830" s="460"/>
      <c r="E830" s="460"/>
      <c r="F830" s="460"/>
      <c r="G830" s="461"/>
      <c r="H830" s="461"/>
      <c r="I830" s="461"/>
      <c r="J830" s="461"/>
      <c r="K830" s="461"/>
      <c r="L830" s="461"/>
      <c r="M830" s="461"/>
    </row>
    <row r="831" spans="1:13" x14ac:dyDescent="0.25">
      <c r="A831" s="462"/>
      <c r="B831" s="460"/>
      <c r="C831" s="460"/>
      <c r="D831" s="460"/>
      <c r="E831" s="460"/>
      <c r="F831" s="460"/>
      <c r="G831" s="461"/>
      <c r="H831" s="461"/>
      <c r="I831" s="461"/>
      <c r="J831" s="461"/>
      <c r="K831" s="461"/>
      <c r="L831" s="461"/>
      <c r="M831" s="461"/>
    </row>
    <row r="832" spans="1:13" x14ac:dyDescent="0.25">
      <c r="A832" s="462"/>
      <c r="B832" s="460"/>
      <c r="C832" s="460"/>
      <c r="D832" s="460"/>
      <c r="E832" s="460"/>
      <c r="F832" s="460"/>
      <c r="G832" s="461"/>
      <c r="H832" s="461"/>
      <c r="I832" s="461"/>
      <c r="J832" s="461"/>
      <c r="K832" s="461"/>
      <c r="L832" s="461"/>
      <c r="M832" s="461"/>
    </row>
    <row r="833" spans="1:13" x14ac:dyDescent="0.25">
      <c r="A833" s="462"/>
      <c r="B833" s="460"/>
      <c r="C833" s="460"/>
      <c r="D833" s="460"/>
      <c r="E833" s="460"/>
      <c r="F833" s="460"/>
      <c r="G833" s="461"/>
      <c r="H833" s="461"/>
      <c r="I833" s="461"/>
      <c r="J833" s="461"/>
      <c r="K833" s="461"/>
      <c r="L833" s="461"/>
      <c r="M833" s="461"/>
    </row>
    <row r="834" spans="1:13" x14ac:dyDescent="0.25">
      <c r="A834" s="462"/>
      <c r="B834" s="460"/>
      <c r="C834" s="460"/>
      <c r="D834" s="460"/>
      <c r="E834" s="460"/>
      <c r="F834" s="460"/>
      <c r="G834" s="461"/>
      <c r="H834" s="461"/>
      <c r="I834" s="461"/>
      <c r="J834" s="461"/>
      <c r="K834" s="461"/>
      <c r="L834" s="461"/>
      <c r="M834" s="461"/>
    </row>
    <row r="835" spans="1:13" x14ac:dyDescent="0.25">
      <c r="A835" s="462"/>
      <c r="B835" s="460"/>
      <c r="C835" s="460"/>
      <c r="D835" s="460"/>
      <c r="E835" s="460"/>
      <c r="F835" s="460"/>
      <c r="G835" s="461"/>
      <c r="H835" s="461"/>
      <c r="I835" s="461"/>
      <c r="J835" s="461"/>
      <c r="K835" s="461"/>
      <c r="L835" s="461"/>
      <c r="M835" s="461"/>
    </row>
    <row r="836" spans="1:13" x14ac:dyDescent="0.25">
      <c r="A836" s="462"/>
      <c r="B836" s="460"/>
      <c r="C836" s="460"/>
      <c r="D836" s="460"/>
      <c r="E836" s="460"/>
      <c r="F836" s="460"/>
      <c r="G836" s="461"/>
      <c r="H836" s="461"/>
      <c r="I836" s="461"/>
      <c r="J836" s="461"/>
      <c r="K836" s="461"/>
      <c r="L836" s="461"/>
      <c r="M836" s="461"/>
    </row>
    <row r="837" spans="1:13" x14ac:dyDescent="0.25">
      <c r="A837" s="462"/>
      <c r="B837" s="460"/>
      <c r="C837" s="460"/>
      <c r="D837" s="460"/>
      <c r="E837" s="460"/>
      <c r="F837" s="460"/>
      <c r="G837" s="461"/>
      <c r="H837" s="461"/>
      <c r="I837" s="461"/>
      <c r="J837" s="461"/>
      <c r="K837" s="461"/>
      <c r="L837" s="461"/>
      <c r="M837" s="461"/>
    </row>
    <row r="838" spans="1:13" x14ac:dyDescent="0.25">
      <c r="A838" s="462"/>
      <c r="B838" s="460"/>
      <c r="C838" s="460"/>
      <c r="D838" s="460"/>
      <c r="E838" s="460"/>
      <c r="F838" s="460"/>
      <c r="G838" s="461"/>
      <c r="H838" s="461"/>
      <c r="I838" s="461"/>
      <c r="J838" s="461"/>
      <c r="K838" s="461"/>
      <c r="L838" s="461"/>
      <c r="M838" s="461"/>
    </row>
    <row r="839" spans="1:13" x14ac:dyDescent="0.25">
      <c r="A839" s="462"/>
      <c r="B839" s="460"/>
      <c r="C839" s="460"/>
      <c r="D839" s="460"/>
      <c r="E839" s="460"/>
      <c r="F839" s="460"/>
      <c r="G839" s="461"/>
      <c r="H839" s="461"/>
      <c r="I839" s="461"/>
      <c r="J839" s="461"/>
      <c r="K839" s="461"/>
      <c r="L839" s="461"/>
      <c r="M839" s="461"/>
    </row>
    <row r="840" spans="1:13" x14ac:dyDescent="0.25">
      <c r="A840" s="462"/>
      <c r="B840" s="460"/>
      <c r="C840" s="460"/>
      <c r="D840" s="460"/>
      <c r="E840" s="460"/>
      <c r="F840" s="460"/>
      <c r="G840" s="461"/>
      <c r="H840" s="461"/>
      <c r="I840" s="461"/>
      <c r="J840" s="461"/>
      <c r="K840" s="461"/>
      <c r="L840" s="461"/>
      <c r="M840" s="461"/>
    </row>
    <row r="841" spans="1:13" x14ac:dyDescent="0.25">
      <c r="A841" s="462"/>
      <c r="B841" s="460"/>
      <c r="C841" s="460"/>
      <c r="D841" s="460"/>
      <c r="E841" s="460"/>
      <c r="F841" s="460"/>
      <c r="G841" s="461"/>
      <c r="H841" s="461"/>
      <c r="I841" s="461"/>
      <c r="J841" s="461"/>
      <c r="K841" s="461"/>
      <c r="L841" s="461"/>
      <c r="M841" s="461"/>
    </row>
    <row r="842" spans="1:13" x14ac:dyDescent="0.25">
      <c r="A842" s="462"/>
      <c r="B842" s="460"/>
      <c r="C842" s="460"/>
      <c r="D842" s="460"/>
      <c r="E842" s="460"/>
      <c r="F842" s="460"/>
      <c r="G842" s="461"/>
      <c r="H842" s="461"/>
      <c r="I842" s="461"/>
      <c r="J842" s="461"/>
      <c r="K842" s="461"/>
      <c r="L842" s="461"/>
      <c r="M842" s="461"/>
    </row>
    <row r="843" spans="1:13" x14ac:dyDescent="0.25">
      <c r="A843" s="462"/>
      <c r="B843" s="460"/>
      <c r="C843" s="460"/>
      <c r="D843" s="460"/>
      <c r="E843" s="460"/>
      <c r="F843" s="460"/>
      <c r="G843" s="461"/>
      <c r="H843" s="461"/>
      <c r="I843" s="461"/>
      <c r="J843" s="461"/>
      <c r="K843" s="461"/>
      <c r="L843" s="461"/>
      <c r="M843" s="461"/>
    </row>
    <row r="844" spans="1:13" x14ac:dyDescent="0.25">
      <c r="A844" s="462"/>
      <c r="B844" s="460"/>
      <c r="C844" s="460"/>
      <c r="D844" s="460"/>
      <c r="E844" s="460"/>
      <c r="F844" s="460"/>
      <c r="G844" s="461"/>
      <c r="H844" s="461"/>
      <c r="I844" s="461"/>
      <c r="J844" s="461"/>
      <c r="K844" s="461"/>
      <c r="L844" s="461"/>
      <c r="M844" s="461"/>
    </row>
    <row r="845" spans="1:13" x14ac:dyDescent="0.25">
      <c r="A845" s="462"/>
      <c r="B845" s="460"/>
      <c r="C845" s="460"/>
      <c r="D845" s="460"/>
      <c r="E845" s="460"/>
      <c r="F845" s="460"/>
      <c r="G845" s="461"/>
      <c r="H845" s="461"/>
      <c r="I845" s="461"/>
      <c r="J845" s="461"/>
      <c r="K845" s="461"/>
      <c r="L845" s="461"/>
      <c r="M845" s="461"/>
    </row>
    <row r="846" spans="1:13" x14ac:dyDescent="0.25">
      <c r="A846" s="462"/>
      <c r="B846" s="460"/>
      <c r="C846" s="460"/>
      <c r="D846" s="460"/>
      <c r="E846" s="460"/>
      <c r="F846" s="460"/>
      <c r="G846" s="461"/>
      <c r="H846" s="461"/>
      <c r="I846" s="461"/>
      <c r="J846" s="461"/>
      <c r="K846" s="461"/>
      <c r="L846" s="461"/>
      <c r="M846" s="461"/>
    </row>
    <row r="847" spans="1:13" x14ac:dyDescent="0.25">
      <c r="A847" s="462"/>
      <c r="B847" s="460"/>
      <c r="C847" s="460"/>
      <c r="D847" s="460"/>
      <c r="E847" s="460"/>
      <c r="F847" s="460"/>
      <c r="G847" s="461"/>
      <c r="H847" s="461"/>
      <c r="I847" s="461"/>
      <c r="J847" s="461"/>
      <c r="K847" s="461"/>
      <c r="L847" s="461"/>
      <c r="M847" s="461"/>
    </row>
    <row r="848" spans="1:13" x14ac:dyDescent="0.25">
      <c r="A848" s="462"/>
      <c r="B848" s="460"/>
      <c r="C848" s="460"/>
      <c r="D848" s="460"/>
      <c r="E848" s="460"/>
      <c r="F848" s="460"/>
      <c r="G848" s="461"/>
      <c r="H848" s="461"/>
      <c r="I848" s="461"/>
      <c r="J848" s="461"/>
      <c r="K848" s="461"/>
      <c r="L848" s="461"/>
      <c r="M848" s="461"/>
    </row>
    <row r="849" spans="1:13" x14ac:dyDescent="0.25">
      <c r="A849" s="462"/>
      <c r="B849" s="460"/>
      <c r="C849" s="460"/>
      <c r="D849" s="460"/>
      <c r="E849" s="460"/>
      <c r="F849" s="460"/>
      <c r="G849" s="461"/>
      <c r="H849" s="461"/>
      <c r="I849" s="461"/>
      <c r="J849" s="461"/>
      <c r="K849" s="461"/>
      <c r="L849" s="461"/>
      <c r="M849" s="461"/>
    </row>
    <row r="850" spans="1:13" x14ac:dyDescent="0.25">
      <c r="A850" s="462"/>
      <c r="B850" s="460"/>
      <c r="C850" s="460"/>
      <c r="D850" s="460"/>
      <c r="E850" s="460"/>
      <c r="F850" s="460"/>
      <c r="G850" s="461"/>
      <c r="H850" s="461"/>
      <c r="I850" s="461"/>
      <c r="J850" s="461"/>
      <c r="K850" s="461"/>
      <c r="L850" s="461"/>
      <c r="M850" s="461"/>
    </row>
    <row r="851" spans="1:13" x14ac:dyDescent="0.25">
      <c r="A851" s="462"/>
      <c r="B851" s="460"/>
      <c r="C851" s="460"/>
      <c r="D851" s="460"/>
      <c r="E851" s="460"/>
      <c r="F851" s="460"/>
      <c r="G851" s="461"/>
      <c r="H851" s="461"/>
      <c r="I851" s="461"/>
      <c r="J851" s="461"/>
      <c r="K851" s="461"/>
      <c r="L851" s="461"/>
      <c r="M851" s="461"/>
    </row>
    <row r="852" spans="1:13" x14ac:dyDescent="0.25">
      <c r="A852" s="462"/>
      <c r="B852" s="460"/>
      <c r="C852" s="460"/>
      <c r="D852" s="460"/>
      <c r="E852" s="460"/>
      <c r="F852" s="460"/>
      <c r="G852" s="461"/>
      <c r="H852" s="461"/>
      <c r="I852" s="461"/>
      <c r="J852" s="461"/>
      <c r="K852" s="461"/>
      <c r="L852" s="461"/>
      <c r="M852" s="461"/>
    </row>
    <row r="853" spans="1:13" x14ac:dyDescent="0.25">
      <c r="A853" s="462"/>
      <c r="B853" s="460"/>
      <c r="C853" s="460"/>
      <c r="D853" s="460"/>
      <c r="E853" s="460"/>
      <c r="F853" s="460"/>
      <c r="G853" s="461"/>
      <c r="H853" s="461"/>
      <c r="I853" s="461"/>
      <c r="J853" s="461"/>
      <c r="K853" s="461"/>
      <c r="L853" s="461"/>
      <c r="M853" s="461"/>
    </row>
    <row r="854" spans="1:13" x14ac:dyDescent="0.25">
      <c r="A854" s="462"/>
      <c r="B854" s="460"/>
      <c r="C854" s="460"/>
      <c r="D854" s="460"/>
      <c r="E854" s="460"/>
      <c r="F854" s="460"/>
      <c r="G854" s="461"/>
      <c r="H854" s="461"/>
      <c r="I854" s="461"/>
      <c r="J854" s="461"/>
      <c r="K854" s="461"/>
      <c r="L854" s="461"/>
      <c r="M854" s="461"/>
    </row>
    <row r="855" spans="1:13" x14ac:dyDescent="0.25">
      <c r="A855" s="462"/>
      <c r="B855" s="460"/>
      <c r="C855" s="460"/>
      <c r="D855" s="460"/>
      <c r="E855" s="460"/>
      <c r="F855" s="460"/>
      <c r="G855" s="461"/>
      <c r="H855" s="461"/>
      <c r="I855" s="461"/>
      <c r="J855" s="461"/>
      <c r="K855" s="461"/>
      <c r="L855" s="461"/>
      <c r="M855" s="461"/>
    </row>
    <row r="856" spans="1:13" x14ac:dyDescent="0.25">
      <c r="A856" s="462"/>
      <c r="B856" s="460"/>
      <c r="C856" s="460"/>
      <c r="D856" s="460"/>
      <c r="E856" s="460"/>
      <c r="F856" s="460"/>
      <c r="G856" s="461"/>
      <c r="H856" s="461"/>
      <c r="I856" s="461"/>
      <c r="J856" s="461"/>
      <c r="K856" s="461"/>
      <c r="L856" s="461"/>
      <c r="M856" s="461"/>
    </row>
    <row r="857" spans="1:13" x14ac:dyDescent="0.25">
      <c r="A857" s="462"/>
      <c r="B857" s="460"/>
      <c r="C857" s="460"/>
      <c r="D857" s="460"/>
      <c r="E857" s="460"/>
      <c r="F857" s="460"/>
      <c r="G857" s="461"/>
      <c r="H857" s="461"/>
      <c r="I857" s="461"/>
      <c r="J857" s="461"/>
      <c r="K857" s="461"/>
      <c r="L857" s="461"/>
      <c r="M857" s="461"/>
    </row>
    <row r="858" spans="1:13" x14ac:dyDescent="0.25">
      <c r="A858" s="462"/>
      <c r="B858" s="460"/>
      <c r="C858" s="460"/>
      <c r="D858" s="460"/>
      <c r="E858" s="460"/>
      <c r="F858" s="460"/>
      <c r="G858" s="461"/>
      <c r="H858" s="461"/>
      <c r="I858" s="461"/>
      <c r="J858" s="461"/>
      <c r="K858" s="461"/>
      <c r="L858" s="461"/>
      <c r="M858" s="461"/>
    </row>
    <row r="859" spans="1:13" x14ac:dyDescent="0.25">
      <c r="A859" s="462"/>
      <c r="B859" s="460"/>
      <c r="C859" s="460"/>
      <c r="D859" s="460"/>
      <c r="E859" s="460"/>
      <c r="F859" s="460"/>
      <c r="G859" s="461"/>
      <c r="H859" s="461"/>
      <c r="I859" s="461"/>
      <c r="J859" s="461"/>
      <c r="K859" s="461"/>
      <c r="L859" s="461"/>
      <c r="M859" s="461"/>
    </row>
    <row r="860" spans="1:13" x14ac:dyDescent="0.25">
      <c r="A860" s="462"/>
      <c r="B860" s="460"/>
      <c r="C860" s="460"/>
      <c r="D860" s="460"/>
      <c r="E860" s="460"/>
      <c r="F860" s="460"/>
      <c r="G860" s="461"/>
      <c r="H860" s="461"/>
      <c r="I860" s="461"/>
      <c r="J860" s="461"/>
      <c r="K860" s="461"/>
      <c r="L860" s="461"/>
      <c r="M860" s="461"/>
    </row>
    <row r="861" spans="1:13" x14ac:dyDescent="0.25">
      <c r="A861" s="462"/>
      <c r="B861" s="460"/>
      <c r="C861" s="460"/>
      <c r="D861" s="460"/>
      <c r="E861" s="460"/>
      <c r="F861" s="460"/>
      <c r="G861" s="461"/>
      <c r="H861" s="461"/>
      <c r="I861" s="461"/>
      <c r="J861" s="461"/>
      <c r="K861" s="461"/>
      <c r="L861" s="461"/>
      <c r="M861" s="461"/>
    </row>
    <row r="862" spans="1:13" x14ac:dyDescent="0.25">
      <c r="A862" s="462"/>
      <c r="B862" s="460"/>
      <c r="C862" s="460"/>
      <c r="D862" s="460"/>
      <c r="E862" s="460"/>
      <c r="F862" s="460"/>
      <c r="G862" s="461"/>
      <c r="H862" s="461"/>
      <c r="I862" s="461"/>
      <c r="J862" s="461"/>
      <c r="K862" s="461"/>
      <c r="L862" s="461"/>
      <c r="M862" s="461"/>
    </row>
    <row r="863" spans="1:13" x14ac:dyDescent="0.25">
      <c r="A863" s="462"/>
      <c r="B863" s="460"/>
      <c r="C863" s="460"/>
      <c r="D863" s="460"/>
      <c r="E863" s="460"/>
      <c r="F863" s="460"/>
      <c r="G863" s="461"/>
      <c r="H863" s="461"/>
      <c r="I863" s="461"/>
      <c r="J863" s="461"/>
      <c r="K863" s="461"/>
      <c r="L863" s="461"/>
      <c r="M863" s="461"/>
    </row>
    <row r="864" spans="1:13" x14ac:dyDescent="0.25">
      <c r="A864" s="462"/>
      <c r="B864" s="460"/>
      <c r="C864" s="460"/>
      <c r="D864" s="460"/>
      <c r="E864" s="460"/>
      <c r="F864" s="460"/>
      <c r="G864" s="461"/>
      <c r="H864" s="461"/>
      <c r="I864" s="461"/>
      <c r="J864" s="461"/>
      <c r="K864" s="461"/>
      <c r="L864" s="461"/>
      <c r="M864" s="461"/>
    </row>
    <row r="865" spans="1:13" x14ac:dyDescent="0.25">
      <c r="A865" s="462"/>
      <c r="B865" s="460"/>
      <c r="C865" s="460"/>
      <c r="D865" s="460"/>
      <c r="E865" s="460"/>
      <c r="F865" s="460"/>
      <c r="G865" s="461"/>
      <c r="H865" s="461"/>
      <c r="I865" s="461"/>
      <c r="J865" s="461"/>
      <c r="K865" s="461"/>
      <c r="L865" s="461"/>
      <c r="M865" s="461"/>
    </row>
    <row r="866" spans="1:13" x14ac:dyDescent="0.25">
      <c r="A866" s="462"/>
      <c r="B866" s="460"/>
      <c r="C866" s="460"/>
      <c r="D866" s="460"/>
      <c r="E866" s="460"/>
      <c r="F866" s="460"/>
      <c r="G866" s="461"/>
      <c r="H866" s="461"/>
      <c r="I866" s="461"/>
      <c r="J866" s="461"/>
      <c r="K866" s="461"/>
      <c r="L866" s="461"/>
      <c r="M866" s="461"/>
    </row>
    <row r="867" spans="1:13" x14ac:dyDescent="0.25">
      <c r="A867" s="462"/>
      <c r="B867" s="460"/>
      <c r="C867" s="460"/>
      <c r="D867" s="460"/>
      <c r="E867" s="460"/>
      <c r="F867" s="460"/>
      <c r="G867" s="461"/>
      <c r="H867" s="461"/>
      <c r="I867" s="461"/>
      <c r="J867" s="461"/>
      <c r="K867" s="461"/>
      <c r="L867" s="461"/>
      <c r="M867" s="461"/>
    </row>
    <row r="868" spans="1:13" x14ac:dyDescent="0.25">
      <c r="A868" s="462"/>
      <c r="B868" s="460"/>
      <c r="C868" s="460"/>
      <c r="D868" s="460"/>
      <c r="E868" s="460"/>
      <c r="F868" s="460"/>
      <c r="G868" s="461"/>
      <c r="H868" s="461"/>
      <c r="I868" s="461"/>
      <c r="J868" s="461"/>
      <c r="K868" s="461"/>
      <c r="L868" s="461"/>
      <c r="M868" s="461"/>
    </row>
    <row r="869" spans="1:13" x14ac:dyDescent="0.25">
      <c r="A869" s="462"/>
      <c r="B869" s="460"/>
      <c r="C869" s="460"/>
      <c r="D869" s="460"/>
      <c r="E869" s="460"/>
      <c r="F869" s="460"/>
      <c r="G869" s="461"/>
      <c r="H869" s="461"/>
      <c r="I869" s="461"/>
      <c r="J869" s="461"/>
      <c r="K869" s="461"/>
      <c r="L869" s="461"/>
      <c r="M869" s="461"/>
    </row>
    <row r="870" spans="1:13" x14ac:dyDescent="0.25">
      <c r="A870" s="462"/>
      <c r="B870" s="460"/>
      <c r="C870" s="460"/>
      <c r="D870" s="460"/>
      <c r="E870" s="460"/>
      <c r="F870" s="460"/>
      <c r="G870" s="461"/>
      <c r="H870" s="461"/>
      <c r="I870" s="461"/>
      <c r="J870" s="461"/>
      <c r="K870" s="461"/>
      <c r="L870" s="461"/>
      <c r="M870" s="461"/>
    </row>
    <row r="871" spans="1:13" x14ac:dyDescent="0.25">
      <c r="A871" s="462"/>
      <c r="B871" s="460"/>
      <c r="C871" s="460"/>
      <c r="D871" s="460"/>
      <c r="E871" s="460"/>
      <c r="F871" s="460"/>
      <c r="G871" s="461"/>
      <c r="H871" s="461"/>
      <c r="I871" s="461"/>
      <c r="J871" s="461"/>
      <c r="K871" s="461"/>
      <c r="L871" s="461"/>
      <c r="M871" s="461"/>
    </row>
    <row r="872" spans="1:13" x14ac:dyDescent="0.25">
      <c r="A872" s="462"/>
      <c r="B872" s="460"/>
      <c r="C872" s="460"/>
      <c r="D872" s="460"/>
      <c r="E872" s="460"/>
      <c r="F872" s="460"/>
      <c r="G872" s="461"/>
      <c r="H872" s="461"/>
      <c r="I872" s="461"/>
      <c r="J872" s="461"/>
      <c r="K872" s="461"/>
      <c r="L872" s="461"/>
      <c r="M872" s="461"/>
    </row>
    <row r="873" spans="1:13" x14ac:dyDescent="0.25">
      <c r="A873" s="462"/>
      <c r="B873" s="460"/>
      <c r="C873" s="460"/>
      <c r="D873" s="460"/>
      <c r="E873" s="460"/>
      <c r="F873" s="460"/>
      <c r="G873" s="461"/>
      <c r="H873" s="461"/>
      <c r="I873" s="461"/>
      <c r="J873" s="461"/>
      <c r="K873" s="461"/>
      <c r="L873" s="461"/>
      <c r="M873" s="461"/>
    </row>
    <row r="874" spans="1:13" x14ac:dyDescent="0.25">
      <c r="A874" s="462"/>
      <c r="B874" s="460"/>
      <c r="C874" s="460"/>
      <c r="D874" s="460"/>
      <c r="E874" s="460"/>
      <c r="F874" s="460"/>
      <c r="G874" s="461"/>
      <c r="H874" s="461"/>
      <c r="I874" s="461"/>
      <c r="J874" s="461"/>
      <c r="K874" s="461"/>
      <c r="L874" s="461"/>
      <c r="M874" s="461"/>
    </row>
    <row r="875" spans="1:13" x14ac:dyDescent="0.25">
      <c r="A875" s="462"/>
      <c r="B875" s="460"/>
      <c r="C875" s="460"/>
      <c r="D875" s="460"/>
      <c r="E875" s="460"/>
      <c r="F875" s="460"/>
      <c r="G875" s="461"/>
      <c r="H875" s="461"/>
      <c r="I875" s="461"/>
      <c r="J875" s="461"/>
      <c r="K875" s="461"/>
      <c r="L875" s="461"/>
      <c r="M875" s="461"/>
    </row>
    <row r="876" spans="1:13" x14ac:dyDescent="0.25">
      <c r="A876" s="462"/>
      <c r="B876" s="460"/>
      <c r="C876" s="460"/>
      <c r="D876" s="460"/>
      <c r="E876" s="460"/>
      <c r="F876" s="460"/>
      <c r="G876" s="461"/>
      <c r="H876" s="461"/>
      <c r="I876" s="461"/>
      <c r="J876" s="461"/>
      <c r="K876" s="461"/>
      <c r="L876" s="461"/>
      <c r="M876" s="461"/>
    </row>
    <row r="877" spans="1:13" x14ac:dyDescent="0.25">
      <c r="A877" s="462"/>
      <c r="B877" s="460"/>
      <c r="C877" s="460"/>
      <c r="D877" s="460"/>
      <c r="E877" s="460"/>
      <c r="F877" s="460"/>
      <c r="G877" s="461"/>
      <c r="H877" s="461"/>
      <c r="I877" s="461"/>
      <c r="J877" s="461"/>
      <c r="K877" s="461"/>
      <c r="L877" s="461"/>
      <c r="M877" s="461"/>
    </row>
    <row r="878" spans="1:13" x14ac:dyDescent="0.25">
      <c r="A878" s="462"/>
      <c r="B878" s="460"/>
      <c r="C878" s="460"/>
      <c r="D878" s="460"/>
      <c r="E878" s="460"/>
      <c r="F878" s="460"/>
      <c r="G878" s="461"/>
      <c r="H878" s="461"/>
      <c r="I878" s="461"/>
      <c r="J878" s="461"/>
      <c r="K878" s="461"/>
      <c r="L878" s="461"/>
      <c r="M878" s="461"/>
    </row>
    <row r="879" spans="1:13" x14ac:dyDescent="0.25">
      <c r="A879" s="462"/>
      <c r="B879" s="460"/>
      <c r="C879" s="460"/>
      <c r="D879" s="460"/>
      <c r="E879" s="460"/>
      <c r="F879" s="460"/>
      <c r="G879" s="461"/>
      <c r="H879" s="461"/>
      <c r="I879" s="461"/>
      <c r="J879" s="461"/>
      <c r="K879" s="461"/>
      <c r="L879" s="461"/>
      <c r="M879" s="461"/>
    </row>
    <row r="880" spans="1:13" x14ac:dyDescent="0.25">
      <c r="A880" s="462"/>
      <c r="B880" s="460"/>
      <c r="C880" s="460"/>
      <c r="D880" s="460"/>
      <c r="E880" s="460"/>
      <c r="F880" s="460"/>
      <c r="G880" s="461"/>
      <c r="H880" s="461"/>
      <c r="I880" s="461"/>
      <c r="J880" s="461"/>
      <c r="K880" s="461"/>
      <c r="L880" s="461"/>
      <c r="M880" s="461"/>
    </row>
    <row r="881" spans="1:13" x14ac:dyDescent="0.25">
      <c r="A881" s="462"/>
      <c r="B881" s="460"/>
      <c r="C881" s="460"/>
      <c r="D881" s="460"/>
      <c r="E881" s="460"/>
      <c r="F881" s="460"/>
      <c r="G881" s="461"/>
      <c r="H881" s="461"/>
      <c r="I881" s="461"/>
      <c r="J881" s="461"/>
      <c r="K881" s="461"/>
      <c r="L881" s="461"/>
      <c r="M881" s="461"/>
    </row>
    <row r="882" spans="1:13" x14ac:dyDescent="0.25">
      <c r="A882" s="462"/>
      <c r="B882" s="460"/>
      <c r="C882" s="460"/>
      <c r="D882" s="460"/>
      <c r="E882" s="460"/>
      <c r="F882" s="460"/>
      <c r="G882" s="461"/>
      <c r="H882" s="461"/>
      <c r="I882" s="461"/>
      <c r="J882" s="461"/>
      <c r="K882" s="461"/>
      <c r="L882" s="461"/>
      <c r="M882" s="461"/>
    </row>
    <row r="883" spans="1:13" x14ac:dyDescent="0.25">
      <c r="A883" s="462"/>
      <c r="B883" s="460"/>
      <c r="C883" s="460"/>
      <c r="D883" s="460"/>
      <c r="E883" s="460"/>
      <c r="F883" s="460"/>
      <c r="G883" s="461"/>
      <c r="H883" s="461"/>
      <c r="I883" s="461"/>
      <c r="J883" s="461"/>
      <c r="K883" s="461"/>
      <c r="L883" s="461"/>
      <c r="M883" s="461"/>
    </row>
    <row r="884" spans="1:13" x14ac:dyDescent="0.25">
      <c r="A884" s="462"/>
      <c r="B884" s="460"/>
      <c r="C884" s="460"/>
      <c r="D884" s="460"/>
      <c r="E884" s="460"/>
      <c r="F884" s="460"/>
      <c r="G884" s="461"/>
      <c r="H884" s="461"/>
      <c r="I884" s="461"/>
      <c r="J884" s="461"/>
      <c r="K884" s="461"/>
      <c r="L884" s="461"/>
      <c r="M884" s="461"/>
    </row>
    <row r="885" spans="1:13" x14ac:dyDescent="0.25">
      <c r="A885" s="462"/>
      <c r="B885" s="460"/>
      <c r="C885" s="460"/>
      <c r="D885" s="460"/>
      <c r="E885" s="460"/>
      <c r="F885" s="460"/>
      <c r="G885" s="461"/>
      <c r="H885" s="461"/>
      <c r="I885" s="461"/>
      <c r="J885" s="461"/>
      <c r="K885" s="461"/>
      <c r="L885" s="461"/>
      <c r="M885" s="461"/>
    </row>
    <row r="886" spans="1:13" x14ac:dyDescent="0.25">
      <c r="A886" s="462"/>
      <c r="B886" s="460"/>
      <c r="C886" s="460"/>
      <c r="D886" s="460"/>
      <c r="E886" s="460"/>
      <c r="F886" s="460"/>
      <c r="G886" s="461"/>
      <c r="H886" s="461"/>
      <c r="I886" s="461"/>
      <c r="J886" s="461"/>
      <c r="K886" s="461"/>
      <c r="L886" s="461"/>
      <c r="M886" s="461"/>
    </row>
    <row r="887" spans="1:13" x14ac:dyDescent="0.25">
      <c r="A887" s="462"/>
      <c r="B887" s="460"/>
      <c r="C887" s="460"/>
      <c r="D887" s="460"/>
      <c r="E887" s="460"/>
      <c r="F887" s="460"/>
      <c r="G887" s="461"/>
      <c r="H887" s="461"/>
      <c r="I887" s="461"/>
      <c r="J887" s="461"/>
      <c r="K887" s="461"/>
      <c r="L887" s="461"/>
      <c r="M887" s="461"/>
    </row>
    <row r="888" spans="1:13" x14ac:dyDescent="0.25">
      <c r="A888" s="462"/>
      <c r="B888" s="460"/>
      <c r="C888" s="460"/>
      <c r="D888" s="460"/>
      <c r="E888" s="460"/>
      <c r="F888" s="460"/>
      <c r="G888" s="461"/>
      <c r="H888" s="461"/>
      <c r="I888" s="461"/>
      <c r="J888" s="461"/>
      <c r="K888" s="461"/>
      <c r="L888" s="461"/>
      <c r="M888" s="461"/>
    </row>
    <row r="889" spans="1:13" x14ac:dyDescent="0.25">
      <c r="A889" s="462"/>
      <c r="B889" s="460"/>
      <c r="C889" s="460"/>
      <c r="D889" s="460"/>
      <c r="E889" s="460"/>
      <c r="F889" s="460"/>
      <c r="G889" s="461"/>
      <c r="H889" s="461"/>
      <c r="I889" s="461"/>
      <c r="J889" s="461"/>
      <c r="K889" s="461"/>
      <c r="L889" s="461"/>
      <c r="M889" s="461"/>
    </row>
    <row r="890" spans="1:13" x14ac:dyDescent="0.25">
      <c r="A890" s="462"/>
      <c r="B890" s="460"/>
      <c r="C890" s="460"/>
      <c r="D890" s="460"/>
      <c r="E890" s="460"/>
      <c r="F890" s="460"/>
      <c r="G890" s="461"/>
      <c r="H890" s="461"/>
      <c r="I890" s="461"/>
      <c r="J890" s="461"/>
      <c r="K890" s="461"/>
      <c r="L890" s="461"/>
      <c r="M890" s="461"/>
    </row>
    <row r="891" spans="1:13" x14ac:dyDescent="0.25">
      <c r="A891" s="462"/>
      <c r="B891" s="460"/>
      <c r="C891" s="460"/>
      <c r="D891" s="460"/>
      <c r="E891" s="460"/>
      <c r="F891" s="460"/>
      <c r="G891" s="461"/>
      <c r="H891" s="461"/>
      <c r="I891" s="461"/>
      <c r="J891" s="461"/>
      <c r="K891" s="461"/>
      <c r="L891" s="461"/>
      <c r="M891" s="461"/>
    </row>
    <row r="892" spans="1:13" x14ac:dyDescent="0.25">
      <c r="A892" s="462"/>
      <c r="B892" s="460"/>
      <c r="C892" s="460"/>
      <c r="D892" s="460"/>
      <c r="E892" s="460"/>
      <c r="F892" s="460"/>
      <c r="G892" s="461"/>
      <c r="H892" s="461"/>
      <c r="I892" s="461"/>
      <c r="J892" s="461"/>
      <c r="K892" s="461"/>
      <c r="L892" s="461"/>
      <c r="M892" s="461"/>
    </row>
    <row r="893" spans="1:13" x14ac:dyDescent="0.25">
      <c r="A893" s="462"/>
      <c r="B893" s="460"/>
      <c r="C893" s="460"/>
      <c r="D893" s="460"/>
      <c r="E893" s="460"/>
      <c r="F893" s="460"/>
      <c r="G893" s="461"/>
      <c r="H893" s="461"/>
      <c r="I893" s="461"/>
      <c r="J893" s="461"/>
      <c r="K893" s="461"/>
      <c r="L893" s="461"/>
      <c r="M893" s="461"/>
    </row>
    <row r="894" spans="1:13" x14ac:dyDescent="0.25">
      <c r="A894" s="462"/>
      <c r="B894" s="460"/>
      <c r="C894" s="460"/>
      <c r="D894" s="460"/>
      <c r="E894" s="460"/>
      <c r="F894" s="460"/>
      <c r="G894" s="461"/>
      <c r="H894" s="461"/>
      <c r="I894" s="461"/>
      <c r="J894" s="461"/>
      <c r="K894" s="461"/>
      <c r="L894" s="461"/>
      <c r="M894" s="461"/>
    </row>
    <row r="895" spans="1:13" x14ac:dyDescent="0.25">
      <c r="A895" s="462"/>
      <c r="B895" s="460"/>
      <c r="C895" s="460"/>
      <c r="D895" s="460"/>
      <c r="E895" s="460"/>
      <c r="F895" s="460"/>
      <c r="G895" s="461"/>
      <c r="H895" s="461"/>
      <c r="I895" s="461"/>
      <c r="J895" s="461"/>
      <c r="K895" s="461"/>
      <c r="L895" s="461"/>
      <c r="M895" s="461"/>
    </row>
    <row r="896" spans="1:13" x14ac:dyDescent="0.25">
      <c r="A896" s="462"/>
      <c r="B896" s="460"/>
      <c r="C896" s="460"/>
      <c r="D896" s="460"/>
      <c r="E896" s="460"/>
      <c r="F896" s="460"/>
      <c r="G896" s="461"/>
      <c r="H896" s="461"/>
      <c r="I896" s="461"/>
      <c r="J896" s="461"/>
      <c r="K896" s="461"/>
      <c r="L896" s="461"/>
      <c r="M896" s="461"/>
    </row>
    <row r="897" spans="1:13" x14ac:dyDescent="0.25">
      <c r="A897" s="462"/>
      <c r="B897" s="460"/>
      <c r="C897" s="460"/>
      <c r="D897" s="460"/>
      <c r="E897" s="460"/>
      <c r="F897" s="460"/>
      <c r="G897" s="461"/>
      <c r="H897" s="461"/>
      <c r="I897" s="461"/>
      <c r="J897" s="461"/>
      <c r="K897" s="461"/>
      <c r="L897" s="461"/>
      <c r="M897" s="461"/>
    </row>
    <row r="898" spans="1:13" x14ac:dyDescent="0.25">
      <c r="A898" s="462"/>
      <c r="B898" s="460"/>
      <c r="C898" s="460"/>
      <c r="D898" s="460"/>
      <c r="E898" s="460"/>
      <c r="F898" s="460"/>
      <c r="G898" s="461"/>
      <c r="H898" s="461"/>
      <c r="I898" s="461"/>
      <c r="J898" s="461"/>
      <c r="K898" s="461"/>
      <c r="L898" s="461"/>
      <c r="M898" s="461"/>
    </row>
    <row r="899" spans="1:13" x14ac:dyDescent="0.25">
      <c r="A899" s="462"/>
      <c r="B899" s="460"/>
      <c r="C899" s="460"/>
      <c r="D899" s="460"/>
      <c r="E899" s="460"/>
      <c r="F899" s="460"/>
      <c r="G899" s="461"/>
      <c r="H899" s="461"/>
      <c r="I899" s="461"/>
      <c r="J899" s="461"/>
      <c r="K899" s="461"/>
      <c r="L899" s="461"/>
      <c r="M899" s="461"/>
    </row>
    <row r="900" spans="1:13" x14ac:dyDescent="0.25">
      <c r="A900" s="462"/>
      <c r="B900" s="460"/>
      <c r="C900" s="460"/>
      <c r="D900" s="460"/>
      <c r="E900" s="460"/>
      <c r="F900" s="460"/>
      <c r="G900" s="461"/>
      <c r="H900" s="461"/>
      <c r="I900" s="461"/>
      <c r="J900" s="461"/>
      <c r="K900" s="461"/>
      <c r="L900" s="461"/>
      <c r="M900" s="461"/>
    </row>
    <row r="901" spans="1:13" x14ac:dyDescent="0.25">
      <c r="A901" s="462"/>
      <c r="B901" s="460"/>
      <c r="C901" s="460"/>
      <c r="D901" s="460"/>
      <c r="E901" s="460"/>
      <c r="F901" s="460"/>
      <c r="G901" s="461"/>
      <c r="H901" s="461"/>
      <c r="I901" s="461"/>
      <c r="J901" s="461"/>
      <c r="K901" s="461"/>
      <c r="L901" s="461"/>
      <c r="M901" s="461"/>
    </row>
    <row r="902" spans="1:13" x14ac:dyDescent="0.25">
      <c r="A902" s="462"/>
      <c r="B902" s="460"/>
      <c r="C902" s="460"/>
      <c r="D902" s="460"/>
      <c r="E902" s="460"/>
      <c r="F902" s="460"/>
      <c r="G902" s="461"/>
      <c r="H902" s="461"/>
      <c r="I902" s="461"/>
      <c r="J902" s="461"/>
      <c r="K902" s="461"/>
      <c r="L902" s="461"/>
      <c r="M902" s="461"/>
    </row>
    <row r="903" spans="1:13" x14ac:dyDescent="0.25">
      <c r="A903" s="462"/>
      <c r="B903" s="460"/>
      <c r="C903" s="460"/>
      <c r="D903" s="460"/>
      <c r="E903" s="460"/>
      <c r="F903" s="460"/>
      <c r="G903" s="461"/>
      <c r="H903" s="461"/>
      <c r="I903" s="461"/>
      <c r="J903" s="461"/>
      <c r="K903" s="461"/>
      <c r="L903" s="461"/>
      <c r="M903" s="461"/>
    </row>
    <row r="904" spans="1:13" x14ac:dyDescent="0.25">
      <c r="A904" s="462"/>
      <c r="B904" s="460"/>
      <c r="C904" s="460"/>
      <c r="D904" s="460"/>
      <c r="E904" s="460"/>
      <c r="F904" s="460"/>
      <c r="G904" s="461"/>
      <c r="H904" s="461"/>
      <c r="I904" s="461"/>
      <c r="J904" s="461"/>
      <c r="K904" s="461"/>
      <c r="L904" s="461"/>
      <c r="M904" s="461"/>
    </row>
    <row r="905" spans="1:13" x14ac:dyDescent="0.25">
      <c r="A905" s="462"/>
      <c r="B905" s="460"/>
      <c r="C905" s="460"/>
      <c r="D905" s="460"/>
      <c r="E905" s="460"/>
      <c r="F905" s="460"/>
      <c r="G905" s="461"/>
      <c r="H905" s="461"/>
      <c r="I905" s="461"/>
      <c r="J905" s="461"/>
      <c r="K905" s="461"/>
      <c r="L905" s="461"/>
      <c r="M905" s="461"/>
    </row>
    <row r="906" spans="1:13" x14ac:dyDescent="0.25">
      <c r="A906" s="462"/>
      <c r="B906" s="460"/>
      <c r="C906" s="460"/>
      <c r="D906" s="460"/>
      <c r="E906" s="460"/>
      <c r="F906" s="460"/>
      <c r="G906" s="461"/>
      <c r="H906" s="461"/>
      <c r="I906" s="461"/>
      <c r="J906" s="461"/>
      <c r="K906" s="461"/>
      <c r="L906" s="461"/>
      <c r="M906" s="461"/>
    </row>
    <row r="907" spans="1:13" x14ac:dyDescent="0.25">
      <c r="A907" s="462"/>
      <c r="B907" s="460"/>
      <c r="C907" s="460"/>
      <c r="D907" s="460"/>
      <c r="E907" s="460"/>
      <c r="F907" s="460"/>
      <c r="G907" s="461"/>
      <c r="H907" s="461"/>
      <c r="I907" s="461"/>
      <c r="J907" s="461"/>
      <c r="K907" s="461"/>
      <c r="L907" s="461"/>
      <c r="M907" s="461"/>
    </row>
    <row r="908" spans="1:13" x14ac:dyDescent="0.25">
      <c r="A908" s="462"/>
      <c r="B908" s="460"/>
      <c r="C908" s="460"/>
      <c r="D908" s="460"/>
      <c r="E908" s="460"/>
      <c r="F908" s="460"/>
      <c r="G908" s="461"/>
      <c r="H908" s="461"/>
      <c r="I908" s="461"/>
      <c r="J908" s="461"/>
      <c r="K908" s="461"/>
      <c r="L908" s="461"/>
      <c r="M908" s="461"/>
    </row>
    <row r="909" spans="1:13" x14ac:dyDescent="0.25">
      <c r="A909" s="462"/>
      <c r="B909" s="460"/>
      <c r="C909" s="460"/>
      <c r="D909" s="460"/>
      <c r="E909" s="460"/>
      <c r="F909" s="460"/>
      <c r="G909" s="461"/>
      <c r="H909" s="461"/>
      <c r="I909" s="461"/>
      <c r="J909" s="461"/>
      <c r="K909" s="461"/>
      <c r="L909" s="461"/>
      <c r="M909" s="461"/>
    </row>
    <row r="910" spans="1:13" x14ac:dyDescent="0.25">
      <c r="A910" s="462"/>
      <c r="B910" s="460"/>
      <c r="C910" s="460"/>
      <c r="D910" s="460"/>
      <c r="E910" s="460"/>
      <c r="F910" s="460"/>
      <c r="G910" s="461"/>
      <c r="H910" s="461"/>
      <c r="I910" s="461"/>
      <c r="J910" s="461"/>
      <c r="K910" s="461"/>
      <c r="L910" s="461"/>
      <c r="M910" s="461"/>
    </row>
    <row r="911" spans="1:13" x14ac:dyDescent="0.25">
      <c r="A911" s="462"/>
      <c r="B911" s="460"/>
      <c r="C911" s="460"/>
      <c r="D911" s="460"/>
      <c r="E911" s="460"/>
      <c r="F911" s="460"/>
      <c r="G911" s="461"/>
      <c r="H911" s="461"/>
      <c r="I911" s="461"/>
      <c r="J911" s="461"/>
      <c r="K911" s="461"/>
      <c r="L911" s="461"/>
      <c r="M911" s="461"/>
    </row>
    <row r="912" spans="1:13" x14ac:dyDescent="0.25">
      <c r="A912" s="462"/>
      <c r="B912" s="460"/>
      <c r="C912" s="460"/>
      <c r="D912" s="460"/>
      <c r="E912" s="460"/>
      <c r="F912" s="460"/>
      <c r="G912" s="461"/>
      <c r="H912" s="461"/>
      <c r="I912" s="461"/>
      <c r="J912" s="461"/>
      <c r="K912" s="461"/>
      <c r="L912" s="461"/>
      <c r="M912" s="461"/>
    </row>
    <row r="913" spans="1:13" x14ac:dyDescent="0.25">
      <c r="A913" s="462"/>
      <c r="B913" s="460"/>
      <c r="C913" s="460"/>
      <c r="D913" s="460"/>
      <c r="E913" s="460"/>
      <c r="F913" s="460"/>
      <c r="G913" s="461"/>
      <c r="H913" s="461"/>
      <c r="I913" s="461"/>
      <c r="J913" s="461"/>
      <c r="K913" s="461"/>
      <c r="L913" s="461"/>
      <c r="M913" s="461"/>
    </row>
    <row r="914" spans="1:13" x14ac:dyDescent="0.25">
      <c r="A914" s="462"/>
      <c r="B914" s="460"/>
      <c r="C914" s="460"/>
      <c r="D914" s="460"/>
      <c r="E914" s="460"/>
      <c r="F914" s="460"/>
      <c r="G914" s="461"/>
      <c r="H914" s="461"/>
      <c r="I914" s="461"/>
      <c r="J914" s="461"/>
      <c r="K914" s="461"/>
      <c r="L914" s="461"/>
      <c r="M914" s="461"/>
    </row>
    <row r="915" spans="1:13" x14ac:dyDescent="0.25">
      <c r="A915" s="462"/>
      <c r="B915" s="460"/>
      <c r="C915" s="460"/>
      <c r="D915" s="460"/>
      <c r="E915" s="460"/>
      <c r="F915" s="460"/>
      <c r="G915" s="461"/>
      <c r="H915" s="461"/>
      <c r="I915" s="461"/>
      <c r="J915" s="461"/>
      <c r="K915" s="461"/>
      <c r="L915" s="461"/>
      <c r="M915" s="461"/>
    </row>
    <row r="918" spans="1:13" x14ac:dyDescent="0.25">
      <c r="H918" s="456" t="e">
        <f>#REF!+#REF!+#REF!+#REF!+#REF!+#REF!+#REF!+#REF!+#REF!+#REF!</f>
        <v>#REF!</v>
      </c>
      <c r="J918" s="456" t="e">
        <f>#REF!+#REF!+#REF!+#REF!+#REF!+#REF!+#REF!+#REF!+#REF!+#REF!</f>
        <v>#REF!</v>
      </c>
      <c r="L918" s="456" t="e">
        <f>#REF!+#REF!+#REF!+#REF!+#REF!+#REF!+#REF!+#REF!+#REF!+#REF!</f>
        <v>#REF!</v>
      </c>
    </row>
  </sheetData>
  <autoFilter ref="A10:V416">
    <filterColumn colId="9">
      <filters>
        <filter val="1 000,0"/>
        <filter val="1 040,1"/>
        <filter val="1 050 189,9"/>
        <filter val="1 082,0"/>
        <filter val="1 160,5"/>
        <filter val="1 193 084,4"/>
        <filter val="1 315,6"/>
        <filter val="1 444,1"/>
        <filter val="1 610,0"/>
        <filter val="1 780,2"/>
        <filter val="10 397,3"/>
        <filter val="10,0"/>
        <filter val="100 044,1"/>
        <filter val="100,0"/>
        <filter val="102,0"/>
        <filter val="105 741,0"/>
        <filter val="108 553,1"/>
        <filter val="11 626,9"/>
        <filter val="110,0"/>
        <filter val="12 527,0"/>
        <filter val="12 655,7"/>
        <filter val="12 912,2"/>
        <filter val="120,0"/>
        <filter val="121,0"/>
        <filter val="13,0"/>
        <filter val="130 242,5"/>
        <filter val="130,5"/>
        <filter val="135 619,2"/>
        <filter val="14,0"/>
        <filter val="14,5"/>
        <filter val="146,0"/>
        <filter val="15 314,2"/>
        <filter val="15,0"/>
        <filter val="150,0"/>
        <filter val="155,0"/>
        <filter val="160,0"/>
        <filter val="17 517,6"/>
        <filter val="180,0"/>
        <filter val="19,9"/>
        <filter val="199,5"/>
        <filter val="2 061 421,6"/>
        <filter val="2 086,4"/>
        <filter val="2 196,7"/>
        <filter val="2 452,1"/>
        <filter val="2 634,0"/>
        <filter val="20,0"/>
        <filter val="20,6"/>
        <filter val="200,0"/>
        <filter val="21 939,2"/>
        <filter val="21,2"/>
        <filter val="212,8"/>
        <filter val="219 551,7"/>
        <filter val="219,1"/>
        <filter val="22 712,4"/>
        <filter val="22,2"/>
        <filter val="222,6"/>
        <filter val="223 145,4"/>
        <filter val="23 366,5"/>
        <filter val="23 381,7"/>
        <filter val="235 409,5"/>
        <filter val="240,0"/>
        <filter val="248,8"/>
        <filter val="26,0"/>
        <filter val="27,1"/>
        <filter val="27,2"/>
        <filter val="275,0"/>
        <filter val="3 000,0"/>
        <filter val="3 593,7"/>
        <filter val="3 622,5"/>
        <filter val="3 845,4"/>
        <filter val="300,0"/>
        <filter val="320,0"/>
        <filter val="320,1"/>
        <filter val="338,0"/>
        <filter val="34,4"/>
        <filter val="35,0"/>
        <filter val="360,0"/>
        <filter val="364,0"/>
        <filter val="369,5"/>
        <filter val="371 940,7"/>
        <filter val="39 114,0"/>
        <filter val="39,1"/>
        <filter val="398,5"/>
        <filter val="4 090,2"/>
        <filter val="4 102,7"/>
        <filter val="4 401,0"/>
        <filter val="4 596,9"/>
        <filter val="4 969,0"/>
        <filter val="4,0"/>
        <filter val="400,0"/>
        <filter val="42 601,6"/>
        <filter val="47 642,0"/>
        <filter val="5 520,0"/>
        <filter val="5 991,2"/>
        <filter val="5,0"/>
        <filter val="50 228,5"/>
        <filter val="500,0"/>
        <filter val="52 061,6"/>
        <filter val="53 034,7"/>
        <filter val="53 628,6"/>
        <filter val="539,8"/>
        <filter val="540,0"/>
        <filter val="551,1"/>
        <filter val="568,6"/>
        <filter val="580,0"/>
        <filter val="59 356,1"/>
        <filter val="592,0"/>
        <filter val="60 144,4"/>
        <filter val="60,0"/>
        <filter val="600,0"/>
        <filter val="618,0"/>
        <filter val="65,0"/>
        <filter val="678 042,4"/>
        <filter val="682 132,6"/>
        <filter val="70 448,0"/>
        <filter val="73 468,3"/>
        <filter val="73,9"/>
        <filter val="75,0"/>
        <filter val="756 765,4"/>
        <filter val="759,7"/>
        <filter val="77 137,4"/>
        <filter val="780,0"/>
        <filter val="784,8"/>
        <filter val="8 438,3"/>
        <filter val="8 447,4"/>
        <filter val="80,0"/>
        <filter val="800,0"/>
        <filter val="82 584,5"/>
        <filter val="82,0"/>
        <filter val="82,2"/>
        <filter val="835,0"/>
        <filter val="85 336,7"/>
        <filter val="85,0"/>
        <filter val="869,9"/>
        <filter val="88 795,5"/>
        <filter val="900,1"/>
        <filter val="92 987,3"/>
        <filter val="94 603,0"/>
        <filter val="96,0"/>
        <filter val="974,5"/>
        <filter val="982,0"/>
        <filter val="999,8"/>
      </filters>
    </filterColumn>
  </autoFilter>
  <mergeCells count="14">
    <mergeCell ref="L9:L10"/>
    <mergeCell ref="M9:M10"/>
    <mergeCell ref="A6:M6"/>
    <mergeCell ref="A9:A10"/>
    <mergeCell ref="B9:B10"/>
    <mergeCell ref="C9:C10"/>
    <mergeCell ref="D9:D10"/>
    <mergeCell ref="E9:E10"/>
    <mergeCell ref="H9:H10"/>
    <mergeCell ref="I9:I10"/>
    <mergeCell ref="J9:J10"/>
    <mergeCell ref="K9:K10"/>
    <mergeCell ref="F9:F10"/>
    <mergeCell ref="G9:G10"/>
  </mergeCells>
  <phoneticPr fontId="26" type="noConversion"/>
  <pageMargins left="1.0236220472440944" right="0" top="0.23622047244094491" bottom="0.27559055118110237" header="0.15748031496062992" footer="0.11811023622047245"/>
  <pageSetup paperSize="9" scale="48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B5" sqref="B5"/>
    </sheetView>
  </sheetViews>
  <sheetFormatPr defaultRowHeight="12.75" x14ac:dyDescent="0.2"/>
  <cols>
    <col min="2" max="2" width="19" customWidth="1"/>
    <col min="3" max="3" width="14.85546875" customWidth="1"/>
    <col min="4" max="4" width="15.42578125" customWidth="1"/>
    <col min="7" max="7" width="15.42578125" customWidth="1"/>
    <col min="8" max="9" width="13.7109375" customWidth="1"/>
    <col min="12" max="12" width="14.85546875" customWidth="1"/>
    <col min="13" max="13" width="13.5703125" customWidth="1"/>
    <col min="14" max="14" width="12.85546875" customWidth="1"/>
  </cols>
  <sheetData>
    <row r="1" spans="1:14" x14ac:dyDescent="0.2">
      <c r="B1" t="s">
        <v>1643</v>
      </c>
      <c r="G1" t="s">
        <v>1644</v>
      </c>
    </row>
    <row r="2" spans="1:14" x14ac:dyDescent="0.2">
      <c r="B2">
        <v>2024</v>
      </c>
      <c r="C2">
        <v>2025</v>
      </c>
      <c r="D2">
        <v>2026</v>
      </c>
      <c r="G2">
        <v>2024</v>
      </c>
      <c r="H2">
        <v>2025</v>
      </c>
      <c r="I2">
        <v>2025</v>
      </c>
      <c r="L2">
        <v>2024</v>
      </c>
      <c r="M2">
        <v>2025</v>
      </c>
      <c r="N2">
        <v>2025</v>
      </c>
    </row>
    <row r="3" spans="1:14" x14ac:dyDescent="0.2">
      <c r="A3" t="s">
        <v>1635</v>
      </c>
      <c r="B3" s="646">
        <f>'прил1 доходы 2024'!D6</f>
        <v>112197.79334999999</v>
      </c>
      <c r="C3" s="646" t="e">
        <f>#REF!</f>
        <v>#REF!</v>
      </c>
      <c r="D3" s="646" t="e">
        <f>#REF!</f>
        <v>#REF!</v>
      </c>
      <c r="E3" s="89"/>
      <c r="F3" t="s">
        <v>1635</v>
      </c>
      <c r="G3" s="671">
        <v>104316.43335000001</v>
      </c>
      <c r="H3" s="671">
        <v>102541.7</v>
      </c>
      <c r="I3" s="671">
        <v>104218.9</v>
      </c>
      <c r="K3" t="s">
        <v>1635</v>
      </c>
      <c r="L3" s="646">
        <f t="shared" ref="L3:N5" si="0">B3-G3</f>
        <v>7881.359999999986</v>
      </c>
      <c r="M3" s="646" t="e">
        <f t="shared" si="0"/>
        <v>#REF!</v>
      </c>
      <c r="N3" s="646" t="e">
        <f t="shared" si="0"/>
        <v>#REF!</v>
      </c>
    </row>
    <row r="4" spans="1:14" x14ac:dyDescent="0.2">
      <c r="A4" t="s">
        <v>1636</v>
      </c>
      <c r="B4" s="646">
        <f>'безвоз 2024 пр.2'!E7</f>
        <v>2077663.2986300003</v>
      </c>
      <c r="C4" s="646" t="e">
        <f>#REF!</f>
        <v>#REF!</v>
      </c>
      <c r="D4" s="646" t="e">
        <f>#REF!</f>
        <v>#REF!</v>
      </c>
      <c r="E4" s="89"/>
      <c r="F4" t="s">
        <v>1636</v>
      </c>
      <c r="G4" s="671">
        <v>1799085.8494799999</v>
      </c>
      <c r="H4" s="671">
        <v>1088236.00825</v>
      </c>
      <c r="I4" s="671">
        <v>1079555.5082500002</v>
      </c>
      <c r="K4" t="s">
        <v>1636</v>
      </c>
      <c r="L4" s="646">
        <f t="shared" si="0"/>
        <v>278577.44915000047</v>
      </c>
      <c r="M4" s="646" t="e">
        <f t="shared" si="0"/>
        <v>#REF!</v>
      </c>
      <c r="N4" s="646" t="e">
        <f t="shared" si="0"/>
        <v>#REF!</v>
      </c>
    </row>
    <row r="5" spans="1:14" x14ac:dyDescent="0.2">
      <c r="A5" t="s">
        <v>1637</v>
      </c>
      <c r="B5" s="646">
        <f>B4+B3</f>
        <v>2189861.0919800005</v>
      </c>
      <c r="C5" s="646" t="e">
        <f>C4+C3</f>
        <v>#REF!</v>
      </c>
      <c r="D5" s="646" t="e">
        <f>D4+D3</f>
        <v>#REF!</v>
      </c>
      <c r="E5" s="89"/>
      <c r="F5" t="s">
        <v>1637</v>
      </c>
      <c r="G5" s="671">
        <v>1903402.2828299999</v>
      </c>
      <c r="H5" s="671">
        <v>1190777.7082499999</v>
      </c>
      <c r="I5" s="671">
        <v>1183774.4082500001</v>
      </c>
      <c r="K5" t="s">
        <v>1637</v>
      </c>
      <c r="L5" s="646">
        <f t="shared" si="0"/>
        <v>286458.80915000057</v>
      </c>
      <c r="M5" s="646" t="e">
        <f t="shared" si="0"/>
        <v>#REF!</v>
      </c>
      <c r="N5" s="646" t="e">
        <f t="shared" si="0"/>
        <v>#REF!</v>
      </c>
    </row>
    <row r="6" spans="1:14" x14ac:dyDescent="0.2">
      <c r="B6" s="646"/>
      <c r="C6" s="646"/>
      <c r="D6" s="646"/>
      <c r="E6" s="89"/>
      <c r="G6" s="671"/>
      <c r="H6" s="671"/>
      <c r="I6" s="671"/>
      <c r="L6" s="646"/>
      <c r="M6" s="646"/>
      <c r="N6" s="646"/>
    </row>
    <row r="7" spans="1:14" x14ac:dyDescent="0.2">
      <c r="A7" t="s">
        <v>1638</v>
      </c>
      <c r="B7" s="646">
        <f>'Функц. пр.3'!E69</f>
        <v>2219807.5769099998</v>
      </c>
      <c r="C7" s="646" t="e">
        <f>#REF!</f>
        <v>#REF!</v>
      </c>
      <c r="D7" s="646" t="e">
        <f>#REF!</f>
        <v>#REF!</v>
      </c>
      <c r="E7" s="89"/>
      <c r="F7" t="s">
        <v>1638</v>
      </c>
      <c r="G7" s="671">
        <v>1933348.7677599997</v>
      </c>
      <c r="H7" s="671">
        <v>1186777.7082510001</v>
      </c>
      <c r="I7" s="671">
        <v>1183774.4082499999</v>
      </c>
      <c r="K7" t="s">
        <v>1638</v>
      </c>
      <c r="L7" s="646">
        <f>B7-G7</f>
        <v>286458.8091500001</v>
      </c>
      <c r="M7" s="646" t="e">
        <f>C7-H7</f>
        <v>#REF!</v>
      </c>
      <c r="N7" s="646" t="e">
        <f>D7-I7</f>
        <v>#REF!</v>
      </c>
    </row>
    <row r="8" spans="1:14" x14ac:dyDescent="0.2">
      <c r="B8" s="646"/>
      <c r="C8" s="646"/>
      <c r="D8" s="646"/>
      <c r="E8" s="89"/>
      <c r="G8" s="671"/>
      <c r="H8" s="671"/>
      <c r="I8" s="671"/>
      <c r="L8" s="646"/>
      <c r="M8" s="646"/>
      <c r="N8" s="646"/>
    </row>
    <row r="9" spans="1:14" x14ac:dyDescent="0.2">
      <c r="A9" t="s">
        <v>1639</v>
      </c>
      <c r="B9" s="646">
        <f>B5-B7</f>
        <v>-29946.484929999337</v>
      </c>
      <c r="C9" s="646" t="e">
        <f>C5-C7</f>
        <v>#REF!</v>
      </c>
      <c r="D9" s="646" t="e">
        <f>D5-D7</f>
        <v>#REF!</v>
      </c>
      <c r="E9" s="89"/>
      <c r="F9" t="s">
        <v>1639</v>
      </c>
      <c r="G9" s="671">
        <v>-29946.484929999802</v>
      </c>
      <c r="H9" s="671">
        <v>3999.9999989997596</v>
      </c>
      <c r="I9" s="671">
        <v>0</v>
      </c>
      <c r="K9" t="s">
        <v>1639</v>
      </c>
      <c r="L9" s="646">
        <f>B9-G9</f>
        <v>4.6566128730773926E-10</v>
      </c>
      <c r="M9" s="646" t="e">
        <f>C9-H9</f>
        <v>#REF!</v>
      </c>
      <c r="N9" s="646" t="e">
        <f>D9-I9</f>
        <v>#REF!</v>
      </c>
    </row>
    <row r="10" spans="1:14" x14ac:dyDescent="0.2">
      <c r="B10" s="646"/>
      <c r="C10" s="646"/>
      <c r="D10" s="646"/>
      <c r="E10" s="89"/>
      <c r="G10" s="671"/>
      <c r="H10" s="671"/>
      <c r="I10" s="671"/>
      <c r="L10" s="646"/>
      <c r="M10" s="646"/>
      <c r="N10" s="646"/>
    </row>
    <row r="11" spans="1:14" x14ac:dyDescent="0.2">
      <c r="A11" t="s">
        <v>1640</v>
      </c>
      <c r="B11" s="646">
        <f>ист.прил5!D22</f>
        <v>4000</v>
      </c>
      <c r="C11" s="646"/>
      <c r="D11" s="646"/>
      <c r="E11" s="89"/>
      <c r="F11" t="s">
        <v>1640</v>
      </c>
      <c r="G11" s="671">
        <v>4000</v>
      </c>
      <c r="H11" s="671"/>
      <c r="I11" s="671"/>
      <c r="K11" t="s">
        <v>1640</v>
      </c>
      <c r="L11" s="646">
        <f t="shared" ref="L11:N14" si="1">B11-G11</f>
        <v>0</v>
      </c>
      <c r="M11" s="646">
        <f t="shared" si="1"/>
        <v>0</v>
      </c>
      <c r="N11" s="646">
        <f t="shared" si="1"/>
        <v>0</v>
      </c>
    </row>
    <row r="12" spans="1:14" x14ac:dyDescent="0.2">
      <c r="A12" t="s">
        <v>1641</v>
      </c>
      <c r="B12" s="646">
        <f>-ист.прил5!C23</f>
        <v>-19000</v>
      </c>
      <c r="C12" s="646" t="e">
        <f>#REF!</f>
        <v>#REF!</v>
      </c>
      <c r="D12" s="646"/>
      <c r="E12" s="89"/>
      <c r="F12" t="s">
        <v>1641</v>
      </c>
      <c r="G12" s="671">
        <v>-19000</v>
      </c>
      <c r="H12" s="671">
        <v>4000</v>
      </c>
      <c r="I12" s="671"/>
      <c r="K12" t="s">
        <v>1641</v>
      </c>
      <c r="L12" s="646">
        <f t="shared" si="1"/>
        <v>0</v>
      </c>
      <c r="M12" s="646" t="e">
        <f t="shared" si="1"/>
        <v>#REF!</v>
      </c>
      <c r="N12" s="646">
        <f t="shared" si="1"/>
        <v>0</v>
      </c>
    </row>
    <row r="13" spans="1:14" x14ac:dyDescent="0.2">
      <c r="A13" t="s">
        <v>1642</v>
      </c>
      <c r="B13" s="646">
        <v>44946.484929999999</v>
      </c>
      <c r="C13" s="646"/>
      <c r="D13" s="646"/>
      <c r="E13" s="89"/>
      <c r="F13" t="s">
        <v>1642</v>
      </c>
      <c r="G13" s="671">
        <v>44946.484929999999</v>
      </c>
      <c r="H13" s="671"/>
      <c r="I13" s="671"/>
      <c r="K13" t="s">
        <v>1642</v>
      </c>
      <c r="L13" s="646">
        <f t="shared" si="1"/>
        <v>0</v>
      </c>
      <c r="M13" s="646">
        <f t="shared" si="1"/>
        <v>0</v>
      </c>
      <c r="N13" s="646">
        <f t="shared" si="1"/>
        <v>0</v>
      </c>
    </row>
    <row r="14" spans="1:14" x14ac:dyDescent="0.2">
      <c r="A14" t="s">
        <v>467</v>
      </c>
      <c r="B14" s="646">
        <f>B13+B12+B11</f>
        <v>29946.484929999999</v>
      </c>
      <c r="C14" s="646" t="e">
        <f>C13+C11-C12</f>
        <v>#REF!</v>
      </c>
      <c r="D14" s="646">
        <f>D13+D11-D12</f>
        <v>0</v>
      </c>
      <c r="E14" s="89"/>
      <c r="F14" t="s">
        <v>467</v>
      </c>
      <c r="G14" s="671">
        <v>29946.484929999999</v>
      </c>
      <c r="H14" s="671">
        <v>-4000</v>
      </c>
      <c r="I14" s="671">
        <v>0</v>
      </c>
      <c r="K14" t="s">
        <v>467</v>
      </c>
      <c r="L14" s="646">
        <f t="shared" si="1"/>
        <v>0</v>
      </c>
      <c r="M14" s="646" t="e">
        <f t="shared" si="1"/>
        <v>#REF!</v>
      </c>
      <c r="N14" s="646">
        <f t="shared" si="1"/>
        <v>0</v>
      </c>
    </row>
    <row r="15" spans="1:14" x14ac:dyDescent="0.2">
      <c r="B15" s="646">
        <f>B9+B14</f>
        <v>6.6211214289069176E-10</v>
      </c>
      <c r="G15" s="671">
        <v>-2.3283064365386963E-10</v>
      </c>
      <c r="H15" s="671"/>
      <c r="I15" s="671"/>
      <c r="L15" s="646"/>
      <c r="M15" s="646"/>
      <c r="N15" s="646"/>
    </row>
    <row r="16" spans="1:14" x14ac:dyDescent="0.2">
      <c r="B16" s="666">
        <f>B14+B9</f>
        <v>6.6211214289069176E-10</v>
      </c>
      <c r="C16" s="625" t="e">
        <f>C14+C9</f>
        <v>#REF!</v>
      </c>
      <c r="D16" s="625" t="e">
        <f>D14+D9</f>
        <v>#REF!</v>
      </c>
      <c r="G16" s="625">
        <f>G14+G9</f>
        <v>1.964508555829525E-10</v>
      </c>
      <c r="H16" s="625">
        <f>H14+H9</f>
        <v>-1.0002404451370239E-6</v>
      </c>
      <c r="I16" s="625">
        <f>I14+I9</f>
        <v>0</v>
      </c>
      <c r="L16" s="666">
        <f>L14+L9</f>
        <v>4.6566128730773926E-10</v>
      </c>
      <c r="M16" s="666" t="e">
        <f>M14+M9</f>
        <v>#REF!</v>
      </c>
      <c r="N16" s="666" t="e">
        <f>N14+N9</f>
        <v>#REF!</v>
      </c>
    </row>
    <row r="18" spans="1:14" x14ac:dyDescent="0.2">
      <c r="A18" t="s">
        <v>1696</v>
      </c>
      <c r="B18">
        <v>205935.5</v>
      </c>
      <c r="C18">
        <v>165242.6</v>
      </c>
      <c r="D18">
        <v>165242.6</v>
      </c>
      <c r="L18" t="s">
        <v>1456</v>
      </c>
      <c r="M18">
        <v>0</v>
      </c>
      <c r="N18">
        <v>0</v>
      </c>
    </row>
    <row r="19" spans="1:14" x14ac:dyDescent="0.2">
      <c r="B19" s="89">
        <v>99199.4</v>
      </c>
      <c r="C19" s="89" t="e">
        <f>C18-C16</f>
        <v>#REF!</v>
      </c>
      <c r="D19" s="89" t="e">
        <f>D18-D16</f>
        <v>#REF!</v>
      </c>
      <c r="L19" t="s">
        <v>1879</v>
      </c>
    </row>
    <row r="20" spans="1:14" x14ac:dyDescent="0.2">
      <c r="L20" t="s">
        <v>1696</v>
      </c>
    </row>
    <row r="22" spans="1:14" x14ac:dyDescent="0.2">
      <c r="A22" t="s">
        <v>171</v>
      </c>
      <c r="C22" t="e">
        <f>#REF!</f>
        <v>#REF!</v>
      </c>
      <c r="D22" t="e">
        <f>#REF!</f>
        <v>#REF!</v>
      </c>
      <c r="M22" s="89" t="e">
        <f>M16-M18-M19-M20-M21</f>
        <v>#REF!</v>
      </c>
      <c r="N22" s="89" t="e">
        <f>N16-N18-N19-N20-N21</f>
        <v>#REF!</v>
      </c>
    </row>
    <row r="23" spans="1:14" x14ac:dyDescent="0.2">
      <c r="A23" t="s">
        <v>1806</v>
      </c>
      <c r="C23" t="e">
        <f>(C18+C3)*2.5/100</f>
        <v>#REF!</v>
      </c>
      <c r="D23" t="e">
        <f>(D18+D3)*5/100</f>
        <v>#REF!</v>
      </c>
    </row>
    <row r="24" spans="1:14" x14ac:dyDescent="0.2">
      <c r="C24" t="e">
        <f>C23-C22</f>
        <v>#REF!</v>
      </c>
      <c r="D24" t="e">
        <f>D23-D22</f>
        <v>#REF!</v>
      </c>
      <c r="L24">
        <v>28496.755159999942</v>
      </c>
    </row>
    <row r="26" spans="1:14" x14ac:dyDescent="0.2">
      <c r="B26" s="89">
        <f>B13+B12</f>
        <v>25946.484929999999</v>
      </c>
    </row>
    <row r="28" spans="1:14" x14ac:dyDescent="0.2">
      <c r="A28" t="s">
        <v>1903</v>
      </c>
      <c r="C28">
        <v>40271.86</v>
      </c>
      <c r="D28" s="89" t="e">
        <f>C28+C3</f>
        <v>#REF!</v>
      </c>
    </row>
    <row r="29" spans="1:14" x14ac:dyDescent="0.2">
      <c r="A29" t="s">
        <v>1904</v>
      </c>
      <c r="C29">
        <v>4937.1000000000004</v>
      </c>
    </row>
    <row r="31" spans="1:14" x14ac:dyDescent="0.2">
      <c r="A31" t="s">
        <v>1905</v>
      </c>
      <c r="C31" s="89" t="e">
        <f>C5+C28+C29-6383.6</f>
        <v>#REF!</v>
      </c>
      <c r="D31">
        <v>1228017.8600000001</v>
      </c>
    </row>
    <row r="32" spans="1:14" x14ac:dyDescent="0.2">
      <c r="A32" t="s">
        <v>1906</v>
      </c>
      <c r="C32">
        <v>1228017.8028899999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Лист1</vt:lpstr>
      <vt:lpstr>прил1 доходы 2024</vt:lpstr>
      <vt:lpstr>безвоз 2024 пр.2</vt:lpstr>
      <vt:lpstr>Функц. пр.3</vt:lpstr>
      <vt:lpstr>ведом 2024 пр.4</vt:lpstr>
      <vt:lpstr>ист.прил5</vt:lpstr>
      <vt:lpstr>мп 2024 справ</vt:lpstr>
      <vt:lpstr>Лист2</vt:lpstr>
      <vt:lpstr>'безвоз 2024 пр.2'!Заголовки_для_печати</vt:lpstr>
      <vt:lpstr>'ведом 2024 пр.4'!Заголовки_для_печати</vt:lpstr>
      <vt:lpstr>'мп 2024 справ'!Заголовки_для_печати</vt:lpstr>
      <vt:lpstr>'безвоз 2024 пр.2'!Область_печати</vt:lpstr>
      <vt:lpstr>'ведом 2024 пр.4'!Область_печати</vt:lpstr>
      <vt:lpstr>ист.прил5!Область_печати</vt:lpstr>
      <vt:lpstr>'мп 2024 справ'!Область_печати</vt:lpstr>
      <vt:lpstr>'прил1 доходы 2024'!Область_печати</vt:lpstr>
      <vt:lpstr>'Функц. пр.3'!Область_печати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РФУ</cp:lastModifiedBy>
  <cp:lastPrinted>2024-11-15T05:44:02Z</cp:lastPrinted>
  <dcterms:created xsi:type="dcterms:W3CDTF">2010-10-27T07:43:23Z</dcterms:created>
  <dcterms:modified xsi:type="dcterms:W3CDTF">2024-11-21T09:17:43Z</dcterms:modified>
</cp:coreProperties>
</file>